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5"/>
  </bookViews>
  <sheets>
    <sheet name="ANEXO I" sheetId="1" r:id="rId1"/>
    <sheet name="ANEXO II" sheetId="2" r:id="rId2"/>
    <sheet name="MENSUALIZADOS" sheetId="3" r:id="rId3"/>
    <sheet name="ANEXO III" sheetId="4" r:id="rId4"/>
    <sheet name="ANEXO IV" sheetId="5" r:id="rId5"/>
    <sheet name="ANEXO V" sheetId="6" r:id="rId6"/>
  </sheets>
  <definedNames/>
  <calcPr fullCalcOnLoad="1"/>
</workbook>
</file>

<file path=xl/sharedStrings.xml><?xml version="1.0" encoding="utf-8"?>
<sst xmlns="http://schemas.openxmlformats.org/spreadsheetml/2006/main" count="316" uniqueCount="189">
  <si>
    <t>ANEXO I</t>
  </si>
  <si>
    <t>FEBRERO</t>
  </si>
  <si>
    <t>ABRIL</t>
  </si>
  <si>
    <t>AGOSTO</t>
  </si>
  <si>
    <t>OCTUBRE</t>
  </si>
  <si>
    <t>30 hs</t>
  </si>
  <si>
    <t>36 hs</t>
  </si>
  <si>
    <t>42 hs</t>
  </si>
  <si>
    <t>48 hs</t>
  </si>
  <si>
    <t>Personal Superior</t>
  </si>
  <si>
    <t>Personal Tecnico</t>
  </si>
  <si>
    <t>CAT. 1</t>
  </si>
  <si>
    <t>Intendente</t>
  </si>
  <si>
    <t>Categoria 5</t>
  </si>
  <si>
    <t>CAT. 2</t>
  </si>
  <si>
    <t>Secretario</t>
  </si>
  <si>
    <t>Categoria 6</t>
  </si>
  <si>
    <t>CAT. 3</t>
  </si>
  <si>
    <t>Director</t>
  </si>
  <si>
    <t>Categoria 7</t>
  </si>
  <si>
    <t>CAT. 4</t>
  </si>
  <si>
    <t>Subdirector</t>
  </si>
  <si>
    <t>Categoria 8</t>
  </si>
  <si>
    <t>CAT. 5</t>
  </si>
  <si>
    <t>Personal HCD</t>
  </si>
  <si>
    <t>Categoria 9</t>
  </si>
  <si>
    <t>CAT. 6</t>
  </si>
  <si>
    <t>Concejal</t>
  </si>
  <si>
    <t>Categoria 10</t>
  </si>
  <si>
    <t>CAT. 7</t>
  </si>
  <si>
    <t>Concejal ley 13517</t>
  </si>
  <si>
    <t>Categoria 11</t>
  </si>
  <si>
    <t>CAT. 8</t>
  </si>
  <si>
    <t>Secretario HCD</t>
  </si>
  <si>
    <t>Categoria 12</t>
  </si>
  <si>
    <t>CAT. 9</t>
  </si>
  <si>
    <t>Personal de Servicio</t>
  </si>
  <si>
    <t>Categoria 13</t>
  </si>
  <si>
    <t>CAT. 10</t>
  </si>
  <si>
    <t>Categoria 1</t>
  </si>
  <si>
    <t>Categoria 14</t>
  </si>
  <si>
    <t>CAT. 11</t>
  </si>
  <si>
    <t>Categoria 2</t>
  </si>
  <si>
    <t>Personal Profesional</t>
  </si>
  <si>
    <t>CAT. 12</t>
  </si>
  <si>
    <t>Categoria 3</t>
  </si>
  <si>
    <t>CAT. 13</t>
  </si>
  <si>
    <t>Categoria 4</t>
  </si>
  <si>
    <t>CAT. 14</t>
  </si>
  <si>
    <t>Incremento Salarial Abril 10%</t>
  </si>
  <si>
    <t>CAT. 15</t>
  </si>
  <si>
    <t>20% acumulado 2021</t>
  </si>
  <si>
    <t>CAT. 16</t>
  </si>
  <si>
    <t>Inflacion a Marzo 13%</t>
  </si>
  <si>
    <t>Incremento Salarial Diciembre 2015 a Abril 2021 460%</t>
  </si>
  <si>
    <t>Personal Obrero</t>
  </si>
  <si>
    <t>Categoria 15</t>
  </si>
  <si>
    <t>Categoria 16</t>
  </si>
  <si>
    <t>Personal Jerarquico</t>
  </si>
  <si>
    <t>Encargado de Oficina</t>
  </si>
  <si>
    <t>Encargado de Dependencia</t>
  </si>
  <si>
    <t>Jefe de Division</t>
  </si>
  <si>
    <t>Jefe de Departamento</t>
  </si>
  <si>
    <t>Jefe de Compras</t>
  </si>
  <si>
    <t>Subtesorero</t>
  </si>
  <si>
    <t>Sub Jefe de Compras</t>
  </si>
  <si>
    <t>Tesorero</t>
  </si>
  <si>
    <t>Personal Administrativo</t>
  </si>
  <si>
    <t>Subcontador</t>
  </si>
  <si>
    <t>Ingresante</t>
  </si>
  <si>
    <t>Contador General</t>
  </si>
  <si>
    <t>Horas Catedras</t>
  </si>
  <si>
    <t>Presentismo</t>
  </si>
  <si>
    <t xml:space="preserve">ANEXO II  </t>
  </si>
  <si>
    <t>.</t>
  </si>
  <si>
    <t>30 HORAS</t>
  </si>
  <si>
    <t>36 HORAS</t>
  </si>
  <si>
    <t>42 HORAS</t>
  </si>
  <si>
    <t>48 HORAS</t>
  </si>
  <si>
    <t>ENERO</t>
  </si>
  <si>
    <t>JULIO</t>
  </si>
  <si>
    <t>Categoria 1a</t>
  </si>
  <si>
    <t>Categoria 1b</t>
  </si>
  <si>
    <t>Categoria 1c</t>
  </si>
  <si>
    <t>Categoria 1d</t>
  </si>
  <si>
    <t>Categoria 1d a</t>
  </si>
  <si>
    <t>Categoria 1d a I</t>
  </si>
  <si>
    <t>Categoria 2a</t>
  </si>
  <si>
    <t>Categoria 2b</t>
  </si>
  <si>
    <t>Categoria 2c</t>
  </si>
  <si>
    <t>Categoria 3a</t>
  </si>
  <si>
    <t>Categoria 3b</t>
  </si>
  <si>
    <t>Categoria 3c</t>
  </si>
  <si>
    <t>Categoria 4a</t>
  </si>
  <si>
    <t>Categoria 4b</t>
  </si>
  <si>
    <t>Categoria 4c</t>
  </si>
  <si>
    <t>Categoria 5a</t>
  </si>
  <si>
    <t>Categoria 5b</t>
  </si>
  <si>
    <t>Categoria 5c</t>
  </si>
  <si>
    <t>Categoria 6a</t>
  </si>
  <si>
    <t>Categoria 6b</t>
  </si>
  <si>
    <t>Categoria 6c</t>
  </si>
  <si>
    <t>Categoria 7a</t>
  </si>
  <si>
    <t>Categoria 7b</t>
  </si>
  <si>
    <t>Categoria 7c</t>
  </si>
  <si>
    <t>Encargado de Dependencia a</t>
  </si>
  <si>
    <t>Encargado de Dependencia b</t>
  </si>
  <si>
    <t>Encargado de Dependencia c</t>
  </si>
  <si>
    <t>Jefe de Division a</t>
  </si>
  <si>
    <t>Jefe de Division b</t>
  </si>
  <si>
    <t>Jefe de Division c</t>
  </si>
  <si>
    <t>Jefe de Departamento a</t>
  </si>
  <si>
    <t>Jefe de Departamento b</t>
  </si>
  <si>
    <t>Jefe de Departamento c</t>
  </si>
  <si>
    <t>ANEXO II</t>
  </si>
  <si>
    <t>MENSUALIZADOS</t>
  </si>
  <si>
    <t>MARZO</t>
  </si>
  <si>
    <t>Mensualizado M1</t>
  </si>
  <si>
    <t>Mensualizado M2</t>
  </si>
  <si>
    <t>Mensualizado M3</t>
  </si>
  <si>
    <t>Mensualizado M4</t>
  </si>
  <si>
    <t>Mensualizado M4a</t>
  </si>
  <si>
    <t>Mensualizado M5</t>
  </si>
  <si>
    <t>Mensualizado M6</t>
  </si>
  <si>
    <t>Mensualizado M7</t>
  </si>
  <si>
    <t>Mensualizado M8</t>
  </si>
  <si>
    <t>Mensualizado M9</t>
  </si>
  <si>
    <t>Mensualizado M9a</t>
  </si>
  <si>
    <t>Mensualizado M9b</t>
  </si>
  <si>
    <t>Mensualizado 9c</t>
  </si>
  <si>
    <t>Mensualizado M10</t>
  </si>
  <si>
    <t>Mensualizado M11</t>
  </si>
  <si>
    <t>Mensualizado M11a</t>
  </si>
  <si>
    <t>Mensualizado M12</t>
  </si>
  <si>
    <t>Mensualizado M13</t>
  </si>
  <si>
    <t>Mensualizado M14</t>
  </si>
  <si>
    <t>ANEXO III</t>
  </si>
  <si>
    <t>Porcentaje</t>
  </si>
  <si>
    <t>Valor Hora</t>
  </si>
  <si>
    <t>Medico Asistente</t>
  </si>
  <si>
    <t>Medico Agregado</t>
  </si>
  <si>
    <t>Medico Hospital C</t>
  </si>
  <si>
    <t>Medico Hospital B</t>
  </si>
  <si>
    <t>Medico Hospital A</t>
  </si>
  <si>
    <t>Sueldo Minimo para el calculo de la carrera medica</t>
  </si>
  <si>
    <t>Bonificacion Actividad Critica</t>
  </si>
  <si>
    <t>Jefe de Servicio (Tope C)</t>
  </si>
  <si>
    <t>Jefe de Guardia (Tope C)</t>
  </si>
  <si>
    <t>Sueldo Basico Temporarios</t>
  </si>
  <si>
    <t>ANEXO IV</t>
  </si>
  <si>
    <t>ASIGNACIONES FAMILIARES</t>
  </si>
  <si>
    <t>TOPE MAXIMO INGRESO DEL GRUPO FAMILIAR</t>
  </si>
  <si>
    <t>TOPE MAXIMO DE CADA INTEGRANTE DEL GRUPO FAMILIAR</t>
  </si>
  <si>
    <t>RANGOS Y MONTOS VIGENTES</t>
  </si>
  <si>
    <t>MATERNIDAD</t>
  </si>
  <si>
    <t>Sin tope de ingreso grupo familiar (IGF)-Remuneracion Bruta</t>
  </si>
  <si>
    <t>NACIMIENTO</t>
  </si>
  <si>
    <t>ADOPCION</t>
  </si>
  <si>
    <t>MATRIMONIO</t>
  </si>
  <si>
    <t>PRENATAL</t>
  </si>
  <si>
    <t>IGF hasta $ 78454</t>
  </si>
  <si>
    <t>IGF hasta $ 78454.01 Y $ 115062</t>
  </si>
  <si>
    <t>IGF hasta $ 210278</t>
  </si>
  <si>
    <t>IGF hasta $ 115062.01 Y $ 132844</t>
  </si>
  <si>
    <t>IGF hasta $ 132844.01 Y $ 210278</t>
  </si>
  <si>
    <t>HIJO</t>
  </si>
  <si>
    <t>HIJO CON DISCAPACIDAD</t>
  </si>
  <si>
    <t>IGF DESDE $ 115062.01</t>
  </si>
  <si>
    <t>IGF hasta $210278</t>
  </si>
  <si>
    <t>AYUDA ESCOLAR ANUAL</t>
  </si>
  <si>
    <t>AYUDA ESCOLAR ANUAL PARA HIJO CON DISCAPACIDAD</t>
  </si>
  <si>
    <t>Sin tope de IGF</t>
  </si>
  <si>
    <t>CONYUGE</t>
  </si>
  <si>
    <t>Retribucion Basica-Enero 2022</t>
  </si>
  <si>
    <t>GUARDIAS MEDICAS</t>
  </si>
  <si>
    <t>Valores remunerativos</t>
  </si>
  <si>
    <t>Guardia</t>
  </si>
  <si>
    <t>Dia de semana</t>
  </si>
  <si>
    <t>Fin de semana/feriado</t>
  </si>
  <si>
    <t>General y Pediatria</t>
  </si>
  <si>
    <t>Especialista</t>
  </si>
  <si>
    <t>Reemplazo Guardia Rayos y Laboratorio</t>
  </si>
  <si>
    <t>Anestesia</t>
  </si>
  <si>
    <t>Terapia Intensiva</t>
  </si>
  <si>
    <t>C.A.P.S. Modulo</t>
  </si>
  <si>
    <t>-</t>
  </si>
  <si>
    <t>Obstetricas Pasiva</t>
  </si>
  <si>
    <t>Obstetricas Activa</t>
  </si>
  <si>
    <t>ANEXO V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</si>
</sst>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\ &quot;€&quot;_-;\-* #,##0\ &quot;€&quot;_-;_-* &quot;-&quot;\ &quot;€&quot;_-;_-@_-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u val="single"/>
      <sz val="13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32" fillId="0" borderId="7" applyNumberFormat="0" applyFill="0" applyAlignment="0" applyProtection="0"/>
    <xf numFmtId="0" fontId="44" fillId="0" borderId="8" applyNumberFormat="0" applyFill="0" applyAlignment="0" applyProtection="0"/>
  </cellStyleXfs>
  <cellXfs count="10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NumberFormat="1" applyFont="1" applyBorder="1" applyAlignment="1">
      <alignment/>
    </xf>
    <xf numFmtId="178" fontId="45" fillId="0" borderId="12" xfId="50" applyNumberFormat="1" applyFont="1" applyBorder="1" applyAlignment="1">
      <alignment/>
    </xf>
    <xf numFmtId="178" fontId="45" fillId="0" borderId="13" xfId="5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178" fontId="46" fillId="0" borderId="11" xfId="50" applyNumberFormat="1" applyFont="1" applyBorder="1" applyAlignment="1">
      <alignment/>
    </xf>
    <xf numFmtId="9" fontId="45" fillId="0" borderId="0" xfId="54" applyNumberFormat="1" applyFont="1" applyBorder="1" applyAlignment="1">
      <alignment/>
    </xf>
    <xf numFmtId="9" fontId="45" fillId="0" borderId="0" xfId="0" applyNumberFormat="1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9" fontId="45" fillId="0" borderId="10" xfId="54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NumberFormat="1" applyFont="1" applyBorder="1" applyAlignment="1">
      <alignment/>
    </xf>
    <xf numFmtId="178" fontId="45" fillId="0" borderId="20" xfId="50" applyNumberFormat="1" applyFont="1" applyBorder="1" applyAlignment="1">
      <alignment/>
    </xf>
    <xf numFmtId="9" fontId="45" fillId="0" borderId="21" xfId="54" applyNumberFormat="1" applyFont="1" applyBorder="1" applyAlignment="1">
      <alignment/>
    </xf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12" xfId="0" applyFont="1" applyFill="1" applyBorder="1" applyAlignment="1">
      <alignment horizontal="center"/>
    </xf>
    <xf numFmtId="17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17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4" fillId="33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2" fontId="0" fillId="0" borderId="23" xfId="0" applyNumberFormat="1" applyBorder="1" applyAlignment="1">
      <alignment/>
    </xf>
    <xf numFmtId="178" fontId="0" fillId="0" borderId="12" xfId="50" applyNumberFormat="1" applyFont="1" applyBorder="1" applyAlignment="1">
      <alignment/>
    </xf>
    <xf numFmtId="178" fontId="0" fillId="0" borderId="0" xfId="50" applyNumberFormat="1" applyFont="1" applyAlignment="1">
      <alignment/>
    </xf>
    <xf numFmtId="170" fontId="0" fillId="0" borderId="24" xfId="50" applyNumberFormat="1" applyFont="1" applyBorder="1" applyAlignment="1">
      <alignment/>
    </xf>
    <xf numFmtId="170" fontId="0" fillId="0" borderId="10" xfId="50" applyNumberFormat="1" applyFont="1" applyBorder="1" applyAlignment="1">
      <alignment/>
    </xf>
    <xf numFmtId="178" fontId="44" fillId="0" borderId="17" xfId="50" applyNumberFormat="1" applyFont="1" applyBorder="1" applyAlignment="1">
      <alignment/>
    </xf>
    <xf numFmtId="178" fontId="0" fillId="0" borderId="0" xfId="50" applyNumberFormat="1" applyFont="1" applyBorder="1" applyAlignment="1">
      <alignment/>
    </xf>
    <xf numFmtId="178" fontId="44" fillId="0" borderId="18" xfId="50" applyNumberFormat="1" applyFont="1" applyBorder="1" applyAlignment="1">
      <alignment/>
    </xf>
    <xf numFmtId="178" fontId="0" fillId="0" borderId="11" xfId="50" applyNumberFormat="1" applyFont="1" applyBorder="1" applyAlignment="1">
      <alignment/>
    </xf>
    <xf numFmtId="178" fontId="0" fillId="0" borderId="25" xfId="50" applyNumberFormat="1" applyFont="1" applyBorder="1" applyAlignment="1">
      <alignment/>
    </xf>
    <xf numFmtId="178" fontId="44" fillId="0" borderId="11" xfId="50" applyNumberFormat="1" applyFont="1" applyBorder="1" applyAlignment="1">
      <alignment/>
    </xf>
    <xf numFmtId="178" fontId="44" fillId="0" borderId="25" xfId="50" applyNumberFormat="1" applyFont="1" applyBorder="1" applyAlignment="1">
      <alignment/>
    </xf>
    <xf numFmtId="170" fontId="0" fillId="0" borderId="13" xfId="50" applyNumberFormat="1" applyFont="1" applyBorder="1" applyAlignment="1">
      <alignment/>
    </xf>
    <xf numFmtId="170" fontId="0" fillId="0" borderId="12" xfId="50" applyNumberFormat="1" applyFont="1" applyBorder="1" applyAlignment="1">
      <alignment/>
    </xf>
    <xf numFmtId="178" fontId="0" fillId="0" borderId="26" xfId="50" applyNumberFormat="1" applyFont="1" applyBorder="1" applyAlignment="1">
      <alignment/>
    </xf>
    <xf numFmtId="178" fontId="0" fillId="0" borderId="27" xfId="50" applyNumberFormat="1" applyFont="1" applyBorder="1" applyAlignment="1">
      <alignment/>
    </xf>
    <xf numFmtId="170" fontId="0" fillId="0" borderId="21" xfId="50" applyNumberFormat="1" applyFont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Alignment="1">
      <alignment/>
    </xf>
    <xf numFmtId="178" fontId="48" fillId="0" borderId="0" xfId="50" applyFont="1" applyAlignment="1">
      <alignment/>
    </xf>
    <xf numFmtId="0" fontId="48" fillId="0" borderId="9" xfId="0" applyFont="1" applyBorder="1" applyAlignment="1">
      <alignment/>
    </xf>
    <xf numFmtId="178" fontId="48" fillId="0" borderId="10" xfId="50" applyFont="1" applyBorder="1" applyAlignment="1">
      <alignment/>
    </xf>
    <xf numFmtId="0" fontId="49" fillId="0" borderId="12" xfId="0" applyFont="1" applyBorder="1" applyAlignment="1">
      <alignment/>
    </xf>
    <xf numFmtId="0" fontId="48" fillId="0" borderId="12" xfId="0" applyFont="1" applyBorder="1" applyAlignment="1">
      <alignment/>
    </xf>
    <xf numFmtId="178" fontId="48" fillId="0" borderId="12" xfId="50" applyFont="1" applyBorder="1" applyAlignment="1">
      <alignment/>
    </xf>
    <xf numFmtId="178" fontId="49" fillId="0" borderId="12" xfId="50" applyFont="1" applyBorder="1" applyAlignment="1">
      <alignment/>
    </xf>
    <xf numFmtId="0" fontId="49" fillId="0" borderId="18" xfId="0" applyFont="1" applyBorder="1" applyAlignment="1">
      <alignment/>
    </xf>
    <xf numFmtId="0" fontId="50" fillId="0" borderId="12" xfId="0" applyFont="1" applyBorder="1" applyAlignment="1">
      <alignment horizontal="center"/>
    </xf>
    <xf numFmtId="178" fontId="50" fillId="0" borderId="12" xfId="50" applyFont="1" applyBorder="1" applyAlignment="1">
      <alignment horizontal="center"/>
    </xf>
    <xf numFmtId="178" fontId="49" fillId="0" borderId="28" xfId="50" applyNumberFormat="1" applyFont="1" applyBorder="1" applyAlignment="1">
      <alignment horizontal="center"/>
    </xf>
    <xf numFmtId="178" fontId="49" fillId="0" borderId="29" xfId="5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178" fontId="49" fillId="0" borderId="26" xfId="50" applyNumberFormat="1" applyFont="1" applyBorder="1" applyAlignment="1">
      <alignment horizontal="center"/>
    </xf>
    <xf numFmtId="178" fontId="49" fillId="0" borderId="27" xfId="5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7" fontId="47" fillId="33" borderId="12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17" fontId="46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7" fontId="50" fillId="0" borderId="9" xfId="0" applyNumberFormat="1" applyFont="1" applyBorder="1" applyAlignment="1">
      <alignment horizontal="center"/>
    </xf>
    <xf numFmtId="17" fontId="50" fillId="0" borderId="10" xfId="0" applyNumberFormat="1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17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F51"/>
  <sheetViews>
    <sheetView zoomScaleSheetLayoutView="100" workbookViewId="0" topLeftCell="A31">
      <selection activeCell="A5" sqref="A5:D51"/>
    </sheetView>
  </sheetViews>
  <sheetFormatPr defaultColWidth="11.421875" defaultRowHeight="15"/>
  <cols>
    <col min="1" max="1" width="24.00390625" style="0" customWidth="1"/>
    <col min="2" max="2" width="13.00390625" style="0" customWidth="1"/>
    <col min="3" max="3" width="31.00390625" style="0" customWidth="1"/>
    <col min="4" max="4" width="12.421875" style="0" customWidth="1"/>
    <col min="5" max="5" width="11.421875" style="0" bestFit="1" customWidth="1"/>
    <col min="6" max="6" width="11.421875" style="0" hidden="1" customWidth="1"/>
    <col min="7" max="10" width="12.00390625" style="0" hidden="1" customWidth="1"/>
    <col min="11" max="11" width="11.8515625" style="0" hidden="1" customWidth="1"/>
    <col min="12" max="15" width="12.00390625" style="0" hidden="1" customWidth="1"/>
    <col min="16" max="16" width="11.00390625" style="0" hidden="1" customWidth="1"/>
    <col min="17" max="20" width="12.00390625" style="0" hidden="1" customWidth="1"/>
    <col min="21" max="21" width="11.00390625" style="0" hidden="1" customWidth="1"/>
    <col min="22" max="25" width="12.00390625" style="0" hidden="1" customWidth="1"/>
    <col min="26" max="29" width="11.00390625" style="0" hidden="1" customWidth="1"/>
  </cols>
  <sheetData>
    <row r="6" spans="1:25" ht="15.75">
      <c r="A6" s="72" t="s">
        <v>0</v>
      </c>
      <c r="B6" s="73"/>
      <c r="C6" s="73"/>
      <c r="D6" s="46"/>
      <c r="F6" s="74" t="s">
        <v>1</v>
      </c>
      <c r="G6" s="74"/>
      <c r="H6" s="74"/>
      <c r="I6" s="74"/>
      <c r="J6" s="74"/>
      <c r="K6" s="74" t="s">
        <v>2</v>
      </c>
      <c r="L6" s="74"/>
      <c r="M6" s="74"/>
      <c r="N6" s="74"/>
      <c r="O6" s="74"/>
      <c r="P6" s="74" t="s">
        <v>3</v>
      </c>
      <c r="Q6" s="74"/>
      <c r="R6" s="74"/>
      <c r="S6" s="74"/>
      <c r="T6" s="74"/>
      <c r="U6" s="74" t="s">
        <v>4</v>
      </c>
      <c r="V6" s="74"/>
      <c r="W6" s="74"/>
      <c r="X6" s="74"/>
      <c r="Y6" s="74"/>
    </row>
    <row r="7" spans="1:25" ht="15.75">
      <c r="A7" s="75" t="s">
        <v>173</v>
      </c>
      <c r="B7" s="76"/>
      <c r="C7" s="76"/>
      <c r="D7" s="47"/>
      <c r="F7" s="29"/>
      <c r="G7" s="29" t="s">
        <v>5</v>
      </c>
      <c r="H7" s="29" t="s">
        <v>6</v>
      </c>
      <c r="I7" s="29" t="s">
        <v>7</v>
      </c>
      <c r="J7" s="60" t="s">
        <v>8</v>
      </c>
      <c r="K7" s="29"/>
      <c r="L7" s="29" t="s">
        <v>5</v>
      </c>
      <c r="M7" s="29" t="s">
        <v>6</v>
      </c>
      <c r="N7" s="29" t="s">
        <v>7</v>
      </c>
      <c r="O7" s="60" t="s">
        <v>8</v>
      </c>
      <c r="P7" s="29"/>
      <c r="Q7" s="29" t="s">
        <v>5</v>
      </c>
      <c r="R7" s="29" t="s">
        <v>6</v>
      </c>
      <c r="S7" s="29" t="s">
        <v>7</v>
      </c>
      <c r="T7" s="60" t="s">
        <v>8</v>
      </c>
      <c r="U7" s="29"/>
      <c r="V7" s="29" t="s">
        <v>5</v>
      </c>
      <c r="W7" s="29" t="s">
        <v>6</v>
      </c>
      <c r="X7" s="29" t="s">
        <v>7</v>
      </c>
      <c r="Y7" s="60" t="s">
        <v>8</v>
      </c>
    </row>
    <row r="8" spans="1:26" ht="15">
      <c r="A8" s="48" t="s">
        <v>9</v>
      </c>
      <c r="B8" s="49"/>
      <c r="C8" s="50" t="s">
        <v>10</v>
      </c>
      <c r="D8" s="47"/>
      <c r="F8" s="29" t="s">
        <v>11</v>
      </c>
      <c r="G8" s="44">
        <f aca="true" t="shared" si="0" ref="G8:G17">+B18</f>
        <v>25166.777900000005</v>
      </c>
      <c r="H8" s="44">
        <f>+(G8*36)/30</f>
        <v>30200.133480000008</v>
      </c>
      <c r="I8" s="44">
        <f>+(G8*42)/30</f>
        <v>35233.48906000001</v>
      </c>
      <c r="J8" s="44">
        <f>+(G8*48)/30</f>
        <v>40266.84464000001</v>
      </c>
      <c r="K8" s="29" t="s">
        <v>11</v>
      </c>
      <c r="L8" s="44">
        <f>10379.98*1.2</f>
        <v>12455.975999999999</v>
      </c>
      <c r="M8" s="44">
        <f>+(L8*36)/30</f>
        <v>14947.171199999999</v>
      </c>
      <c r="N8" s="44">
        <f>+(L8*42)/30</f>
        <v>17438.3664</v>
      </c>
      <c r="O8" s="44">
        <f>+(L8*48)/30</f>
        <v>19929.5616</v>
      </c>
      <c r="P8" s="29" t="s">
        <v>11</v>
      </c>
      <c r="Q8" s="44">
        <f aca="true" t="shared" si="1" ref="Q8:Q13">+B18</f>
        <v>25166.777900000005</v>
      </c>
      <c r="R8" s="44">
        <f>+(Q8*36)/30</f>
        <v>30200.133480000008</v>
      </c>
      <c r="S8" s="44">
        <f>+(Q8*42)/30</f>
        <v>35233.48906000001</v>
      </c>
      <c r="T8" s="44">
        <f>+(Q8*48)/30</f>
        <v>40266.84464000001</v>
      </c>
      <c r="U8" s="29" t="s">
        <v>11</v>
      </c>
      <c r="V8" s="44">
        <f>10379.98*1.36</f>
        <v>14116.7728</v>
      </c>
      <c r="W8" s="44">
        <f>+(V8*36)/30</f>
        <v>16940.127360000002</v>
      </c>
      <c r="X8" s="44">
        <f>+(V8*42)/30</f>
        <v>19763.481920000002</v>
      </c>
      <c r="Y8" s="44">
        <f>+(V8*48)/30</f>
        <v>22586.83648</v>
      </c>
      <c r="Z8">
        <v>14531</v>
      </c>
    </row>
    <row r="9" spans="1:25" ht="15">
      <c r="A9" s="51" t="s">
        <v>12</v>
      </c>
      <c r="B9" s="44">
        <f>+B40*1.33333333333333*12</f>
        <v>301284.1919999992</v>
      </c>
      <c r="C9" s="52" t="s">
        <v>13</v>
      </c>
      <c r="D9" s="44">
        <f aca="true" t="shared" si="2" ref="D9:D14">+B22</f>
        <v>25442.471892024005</v>
      </c>
      <c r="F9" s="29" t="s">
        <v>14</v>
      </c>
      <c r="G9" s="44">
        <f t="shared" si="0"/>
        <v>25235.706302136005</v>
      </c>
      <c r="H9" s="44">
        <f aca="true" t="shared" si="3" ref="H9:H23">+(G9*36)/30</f>
        <v>30282.847562563205</v>
      </c>
      <c r="I9" s="44">
        <f aca="true" t="shared" si="4" ref="I9:I23">+(G9*42)/30</f>
        <v>35329.98882299041</v>
      </c>
      <c r="J9" s="44">
        <f aca="true" t="shared" si="5" ref="J9:J23">+(G9*48)/30</f>
        <v>40377.13008341761</v>
      </c>
      <c r="K9" s="29" t="s">
        <v>14</v>
      </c>
      <c r="L9" s="44">
        <f>10408.41*1.2</f>
        <v>12490.091999999999</v>
      </c>
      <c r="M9" s="44">
        <f aca="true" t="shared" si="6" ref="M9:M23">+(L9*36)/30</f>
        <v>14988.1104</v>
      </c>
      <c r="N9" s="44">
        <f aca="true" t="shared" si="7" ref="N9:N23">+(L9*42)/30</f>
        <v>17486.1288</v>
      </c>
      <c r="O9" s="44">
        <f aca="true" t="shared" si="8" ref="O9:O23">+(L9*48)/30</f>
        <v>19984.1472</v>
      </c>
      <c r="P9" s="29" t="s">
        <v>14</v>
      </c>
      <c r="Q9" s="44">
        <f t="shared" si="1"/>
        <v>25235.706302136005</v>
      </c>
      <c r="R9" s="44">
        <f aca="true" t="shared" si="9" ref="R9:R23">+(Q9*36)/30</f>
        <v>30282.847562563205</v>
      </c>
      <c r="S9" s="44">
        <f aca="true" t="shared" si="10" ref="S9:S23">+(Q9*42)/30</f>
        <v>35329.98882299041</v>
      </c>
      <c r="T9" s="44">
        <f aca="true" t="shared" si="11" ref="T9:T23">+(Q9*48)/30</f>
        <v>40377.13008341761</v>
      </c>
      <c r="U9" s="29" t="s">
        <v>14</v>
      </c>
      <c r="V9" s="44">
        <f>10408.41*1.36</f>
        <v>14155.437600000001</v>
      </c>
      <c r="W9" s="44">
        <f aca="true" t="shared" si="12" ref="W9:W23">+(V9*36)/30</f>
        <v>16986.525120000002</v>
      </c>
      <c r="X9" s="44">
        <f aca="true" t="shared" si="13" ref="X9:X23">+(V9*42)/30</f>
        <v>19817.612640000003</v>
      </c>
      <c r="Y9" s="44">
        <f aca="true" t="shared" si="14" ref="Y9:Y23">+(V9*48)/30</f>
        <v>22648.70016</v>
      </c>
    </row>
    <row r="10" spans="1:25" ht="15">
      <c r="A10" s="51" t="s">
        <v>15</v>
      </c>
      <c r="B10" s="44">
        <f>0.4051*B9</f>
        <v>122050.22617919969</v>
      </c>
      <c r="C10" s="52" t="s">
        <v>16</v>
      </c>
      <c r="D10" s="44">
        <f t="shared" si="2"/>
        <v>25583.483696760006</v>
      </c>
      <c r="F10" s="29" t="s">
        <v>17</v>
      </c>
      <c r="G10" s="44">
        <f t="shared" si="0"/>
        <v>25304.733229248006</v>
      </c>
      <c r="H10" s="44">
        <f t="shared" si="3"/>
        <v>30365.679875097605</v>
      </c>
      <c r="I10" s="44">
        <f t="shared" si="4"/>
        <v>35426.62652094721</v>
      </c>
      <c r="J10" s="44">
        <f t="shared" si="5"/>
        <v>40487.573166796814</v>
      </c>
      <c r="K10" s="29" t="s">
        <v>17</v>
      </c>
      <c r="L10" s="44">
        <f>10436.88*1.2</f>
        <v>12524.256</v>
      </c>
      <c r="M10" s="44">
        <f t="shared" si="6"/>
        <v>15029.107199999999</v>
      </c>
      <c r="N10" s="44">
        <f t="shared" si="7"/>
        <v>17533.9584</v>
      </c>
      <c r="O10" s="44">
        <f t="shared" si="8"/>
        <v>20038.809599999997</v>
      </c>
      <c r="P10" s="29" t="s">
        <v>17</v>
      </c>
      <c r="Q10" s="44">
        <f t="shared" si="1"/>
        <v>25304.733229248006</v>
      </c>
      <c r="R10" s="44">
        <f t="shared" si="9"/>
        <v>30365.679875097605</v>
      </c>
      <c r="S10" s="44">
        <f t="shared" si="10"/>
        <v>35426.62652094721</v>
      </c>
      <c r="T10" s="44">
        <f t="shared" si="11"/>
        <v>40487.573166796814</v>
      </c>
      <c r="U10" s="29" t="s">
        <v>17</v>
      </c>
      <c r="V10" s="44">
        <f>10436.88*1.36</f>
        <v>14194.1568</v>
      </c>
      <c r="W10" s="44">
        <f t="shared" si="12"/>
        <v>17032.98816</v>
      </c>
      <c r="X10" s="44">
        <f t="shared" si="13"/>
        <v>19871.81952</v>
      </c>
      <c r="Y10" s="44">
        <f t="shared" si="14"/>
        <v>22710.650880000005</v>
      </c>
    </row>
    <row r="11" spans="1:25" ht="15">
      <c r="A11" s="51" t="s">
        <v>18</v>
      </c>
      <c r="B11" s="44">
        <f>0.3337*B9</f>
        <v>100538.53487039974</v>
      </c>
      <c r="C11" s="52" t="s">
        <v>19</v>
      </c>
      <c r="D11" s="44">
        <f t="shared" si="2"/>
        <v>25793.595165096</v>
      </c>
      <c r="F11" s="29" t="s">
        <v>20</v>
      </c>
      <c r="G11" s="44">
        <f t="shared" si="0"/>
        <v>25371.941744160005</v>
      </c>
      <c r="H11" s="44">
        <f t="shared" si="3"/>
        <v>30446.330092992004</v>
      </c>
      <c r="I11" s="44">
        <f t="shared" si="4"/>
        <v>35520.71844182401</v>
      </c>
      <c r="J11" s="44">
        <f t="shared" si="5"/>
        <v>40595.106790656006</v>
      </c>
      <c r="K11" s="29" t="s">
        <v>20</v>
      </c>
      <c r="L11" s="44">
        <f>10464.6*1.2</f>
        <v>12557.52</v>
      </c>
      <c r="M11" s="44">
        <f t="shared" si="6"/>
        <v>15069.024000000001</v>
      </c>
      <c r="N11" s="44">
        <f t="shared" si="7"/>
        <v>17580.528</v>
      </c>
      <c r="O11" s="44">
        <f t="shared" si="8"/>
        <v>20092.032</v>
      </c>
      <c r="P11" s="29" t="s">
        <v>20</v>
      </c>
      <c r="Q11" s="44">
        <f t="shared" si="1"/>
        <v>25371.941744160005</v>
      </c>
      <c r="R11" s="44">
        <f t="shared" si="9"/>
        <v>30446.330092992004</v>
      </c>
      <c r="S11" s="44">
        <f t="shared" si="10"/>
        <v>35520.71844182401</v>
      </c>
      <c r="T11" s="44">
        <f t="shared" si="11"/>
        <v>40595.106790656006</v>
      </c>
      <c r="U11" s="29" t="s">
        <v>20</v>
      </c>
      <c r="V11" s="44">
        <f>10464.6*1.36</f>
        <v>14231.856000000002</v>
      </c>
      <c r="W11" s="44">
        <f t="shared" si="12"/>
        <v>17078.2272</v>
      </c>
      <c r="X11" s="44">
        <f t="shared" si="13"/>
        <v>19924.598400000003</v>
      </c>
      <c r="Y11" s="44">
        <f t="shared" si="14"/>
        <v>22770.969600000004</v>
      </c>
    </row>
    <row r="12" spans="1:25" ht="15">
      <c r="A12" s="51" t="s">
        <v>21</v>
      </c>
      <c r="B12" s="44">
        <f>0.2444*B9</f>
        <v>73633.85652479982</v>
      </c>
      <c r="C12" s="52" t="s">
        <v>22</v>
      </c>
      <c r="D12" s="44">
        <f t="shared" si="2"/>
        <v>26003.633896944</v>
      </c>
      <c r="F12" s="29" t="s">
        <v>23</v>
      </c>
      <c r="G12" s="44">
        <f t="shared" si="0"/>
        <v>25442.471892024005</v>
      </c>
      <c r="H12" s="44">
        <f t="shared" si="3"/>
        <v>30530.966270428806</v>
      </c>
      <c r="I12" s="44">
        <f t="shared" si="4"/>
        <v>35619.46064883361</v>
      </c>
      <c r="J12" s="44">
        <f t="shared" si="5"/>
        <v>40707.9550272384</v>
      </c>
      <c r="K12" s="29" t="s">
        <v>23</v>
      </c>
      <c r="L12" s="44">
        <f>10493.69*1.2</f>
        <v>12592.428</v>
      </c>
      <c r="M12" s="44">
        <f t="shared" si="6"/>
        <v>15110.9136</v>
      </c>
      <c r="N12" s="44">
        <f t="shared" si="7"/>
        <v>17629.3992</v>
      </c>
      <c r="O12" s="44">
        <f t="shared" si="8"/>
        <v>20147.8848</v>
      </c>
      <c r="P12" s="29" t="s">
        <v>23</v>
      </c>
      <c r="Q12" s="44">
        <f t="shared" si="1"/>
        <v>25442.471892024005</v>
      </c>
      <c r="R12" s="44">
        <f t="shared" si="9"/>
        <v>30530.966270428806</v>
      </c>
      <c r="S12" s="44">
        <f t="shared" si="10"/>
        <v>35619.46064883361</v>
      </c>
      <c r="T12" s="44">
        <f t="shared" si="11"/>
        <v>40707.9550272384</v>
      </c>
      <c r="U12" s="29" t="s">
        <v>23</v>
      </c>
      <c r="V12" s="44">
        <f>10493.69*1.36</f>
        <v>14271.418400000002</v>
      </c>
      <c r="W12" s="44">
        <f t="shared" si="12"/>
        <v>17125.702080000003</v>
      </c>
      <c r="X12" s="44">
        <f t="shared" si="13"/>
        <v>19979.985760000003</v>
      </c>
      <c r="Y12" s="44">
        <f t="shared" si="14"/>
        <v>22834.269440000004</v>
      </c>
    </row>
    <row r="13" spans="1:25" ht="15">
      <c r="A13" s="53" t="s">
        <v>24</v>
      </c>
      <c r="B13" s="44"/>
      <c r="C13" s="52" t="s">
        <v>25</v>
      </c>
      <c r="D13" s="44">
        <f t="shared" si="2"/>
        <v>26213.575646808</v>
      </c>
      <c r="F13" s="29" t="s">
        <v>26</v>
      </c>
      <c r="G13" s="44">
        <f t="shared" si="0"/>
        <v>25583.483696760006</v>
      </c>
      <c r="H13" s="44">
        <f t="shared" si="3"/>
        <v>30700.180436112005</v>
      </c>
      <c r="I13" s="44">
        <f t="shared" si="4"/>
        <v>35816.87717546401</v>
      </c>
      <c r="J13" s="44">
        <f t="shared" si="5"/>
        <v>40933.573914816014</v>
      </c>
      <c r="K13" s="29" t="s">
        <v>26</v>
      </c>
      <c r="L13" s="44">
        <f>10551.85*1.25</f>
        <v>13189.8125</v>
      </c>
      <c r="M13" s="44">
        <f t="shared" si="6"/>
        <v>15827.775</v>
      </c>
      <c r="N13" s="44">
        <f t="shared" si="7"/>
        <v>18465.7375</v>
      </c>
      <c r="O13" s="44">
        <f t="shared" si="8"/>
        <v>21103.7</v>
      </c>
      <c r="P13" s="29" t="s">
        <v>26</v>
      </c>
      <c r="Q13" s="44">
        <f t="shared" si="1"/>
        <v>25583.483696760006</v>
      </c>
      <c r="R13" s="44">
        <f t="shared" si="9"/>
        <v>30700.180436112005</v>
      </c>
      <c r="S13" s="44">
        <f t="shared" si="10"/>
        <v>35816.87717546401</v>
      </c>
      <c r="T13" s="44">
        <f t="shared" si="11"/>
        <v>40933.573914816014</v>
      </c>
      <c r="U13" s="29" t="s">
        <v>26</v>
      </c>
      <c r="V13" s="44">
        <f>10551.85*1.36</f>
        <v>14350.516000000001</v>
      </c>
      <c r="W13" s="44">
        <f t="shared" si="12"/>
        <v>17220.6192</v>
      </c>
      <c r="X13" s="44">
        <f t="shared" si="13"/>
        <v>20090.722400000002</v>
      </c>
      <c r="Y13" s="44">
        <f t="shared" si="14"/>
        <v>22960.8256</v>
      </c>
    </row>
    <row r="14" spans="1:27" ht="15">
      <c r="A14" s="51" t="s">
        <v>27</v>
      </c>
      <c r="B14" s="44">
        <f>+(B40*1.33333333333333)*3</f>
        <v>75321.0479999998</v>
      </c>
      <c r="C14" s="52" t="s">
        <v>28</v>
      </c>
      <c r="D14" s="44">
        <f t="shared" si="2"/>
        <v>26423.63862415201</v>
      </c>
      <c r="F14" s="29" t="s">
        <v>29</v>
      </c>
      <c r="G14" s="44">
        <f t="shared" si="0"/>
        <v>25793.595165096</v>
      </c>
      <c r="H14" s="44">
        <f t="shared" si="3"/>
        <v>30952.3141981152</v>
      </c>
      <c r="I14" s="44">
        <f t="shared" si="4"/>
        <v>36111.0332311344</v>
      </c>
      <c r="J14" s="44">
        <f t="shared" si="5"/>
        <v>41269.7522641536</v>
      </c>
      <c r="K14" s="29" t="s">
        <v>29</v>
      </c>
      <c r="L14" s="44">
        <f>10638.51*1.2</f>
        <v>12766.212</v>
      </c>
      <c r="M14" s="44">
        <f t="shared" si="6"/>
        <v>15319.454399999999</v>
      </c>
      <c r="N14" s="44">
        <f t="shared" si="7"/>
        <v>17872.696799999998</v>
      </c>
      <c r="O14" s="44">
        <f t="shared" si="8"/>
        <v>20425.9392</v>
      </c>
      <c r="P14" s="29" t="s">
        <v>29</v>
      </c>
      <c r="Q14" s="44">
        <f aca="true" t="shared" si="15" ref="Q14:Q21">+D11</f>
        <v>25793.595165096</v>
      </c>
      <c r="R14" s="44">
        <f t="shared" si="9"/>
        <v>30952.3141981152</v>
      </c>
      <c r="S14" s="44">
        <f t="shared" si="10"/>
        <v>36111.0332311344</v>
      </c>
      <c r="T14" s="44">
        <f t="shared" si="11"/>
        <v>41269.7522641536</v>
      </c>
      <c r="U14" s="29" t="s">
        <v>29</v>
      </c>
      <c r="V14" s="44">
        <f>10638.51*1.36</f>
        <v>14468.3736</v>
      </c>
      <c r="W14" s="44">
        <f t="shared" si="12"/>
        <v>17362.04832</v>
      </c>
      <c r="X14" s="44">
        <f t="shared" si="13"/>
        <v>20255.72304</v>
      </c>
      <c r="Y14" s="44">
        <f t="shared" si="14"/>
        <v>23149.397760000003</v>
      </c>
      <c r="AA14">
        <f>124000000/13</f>
        <v>9538461.538461538</v>
      </c>
    </row>
    <row r="15" spans="1:25" ht="15">
      <c r="A15" s="51" t="s">
        <v>30</v>
      </c>
      <c r="B15" s="44">
        <f>+B14*0.66</f>
        <v>49711.89167999988</v>
      </c>
      <c r="C15" s="52" t="s">
        <v>31</v>
      </c>
      <c r="D15" s="44">
        <f>+B38</f>
        <v>26476.833242376004</v>
      </c>
      <c r="F15" s="29" t="s">
        <v>32</v>
      </c>
      <c r="G15" s="44">
        <f t="shared" si="0"/>
        <v>26003.633896944</v>
      </c>
      <c r="H15" s="44">
        <f t="shared" si="3"/>
        <v>31204.3606763328</v>
      </c>
      <c r="I15" s="44">
        <f t="shared" si="4"/>
        <v>36405.0874557216</v>
      </c>
      <c r="J15" s="44">
        <f t="shared" si="5"/>
        <v>41605.8142351104</v>
      </c>
      <c r="K15" s="29" t="s">
        <v>32</v>
      </c>
      <c r="L15" s="44">
        <f>10725.14*1.2</f>
        <v>12870.168</v>
      </c>
      <c r="M15" s="44">
        <f t="shared" si="6"/>
        <v>15444.2016</v>
      </c>
      <c r="N15" s="44">
        <f t="shared" si="7"/>
        <v>18018.2352</v>
      </c>
      <c r="O15" s="44">
        <f t="shared" si="8"/>
        <v>20592.2688</v>
      </c>
      <c r="P15" s="29" t="s">
        <v>32</v>
      </c>
      <c r="Q15" s="44">
        <f t="shared" si="15"/>
        <v>26003.633896944</v>
      </c>
      <c r="R15" s="44">
        <f t="shared" si="9"/>
        <v>31204.3606763328</v>
      </c>
      <c r="S15" s="44">
        <f t="shared" si="10"/>
        <v>36405.0874557216</v>
      </c>
      <c r="T15" s="44">
        <f t="shared" si="11"/>
        <v>41605.8142351104</v>
      </c>
      <c r="U15" s="29" t="s">
        <v>32</v>
      </c>
      <c r="V15" s="44">
        <f>10725.14*1.36</f>
        <v>14586.1904</v>
      </c>
      <c r="W15" s="44">
        <f t="shared" si="12"/>
        <v>17503.42848</v>
      </c>
      <c r="X15" s="44">
        <f t="shared" si="13"/>
        <v>20420.666559999998</v>
      </c>
      <c r="Y15" s="44">
        <f t="shared" si="14"/>
        <v>23337.90464</v>
      </c>
    </row>
    <row r="16" spans="1:27" ht="15">
      <c r="A16" s="51" t="s">
        <v>33</v>
      </c>
      <c r="B16" s="44">
        <f>+B14*1.3</f>
        <v>97917.36239999975</v>
      </c>
      <c r="C16" s="52" t="s">
        <v>34</v>
      </c>
      <c r="D16" s="44">
        <f>+B49</f>
        <v>26716.499970336</v>
      </c>
      <c r="F16" s="29" t="s">
        <v>35</v>
      </c>
      <c r="G16" s="44">
        <f t="shared" si="0"/>
        <v>26213.575646808</v>
      </c>
      <c r="H16" s="44">
        <f t="shared" si="3"/>
        <v>31456.2907761696</v>
      </c>
      <c r="I16" s="44">
        <f t="shared" si="4"/>
        <v>36699.0059055312</v>
      </c>
      <c r="J16" s="44">
        <f t="shared" si="5"/>
        <v>41941.721034892806</v>
      </c>
      <c r="K16" s="29" t="s">
        <v>35</v>
      </c>
      <c r="L16" s="44">
        <f>10811.73*1.2</f>
        <v>12974.076</v>
      </c>
      <c r="M16" s="44">
        <f t="shared" si="6"/>
        <v>15568.8912</v>
      </c>
      <c r="N16" s="44">
        <f t="shared" si="7"/>
        <v>18163.7064</v>
      </c>
      <c r="O16" s="44">
        <f t="shared" si="8"/>
        <v>20758.521599999996</v>
      </c>
      <c r="P16" s="29" t="s">
        <v>35</v>
      </c>
      <c r="Q16" s="44">
        <f t="shared" si="15"/>
        <v>26213.575646808</v>
      </c>
      <c r="R16" s="44">
        <f t="shared" si="9"/>
        <v>31456.2907761696</v>
      </c>
      <c r="S16" s="44">
        <f t="shared" si="10"/>
        <v>36699.0059055312</v>
      </c>
      <c r="T16" s="44">
        <f t="shared" si="11"/>
        <v>41941.721034892806</v>
      </c>
      <c r="U16" s="29" t="s">
        <v>35</v>
      </c>
      <c r="V16" s="44">
        <f>10811.73*1.36</f>
        <v>14703.952800000001</v>
      </c>
      <c r="W16" s="44">
        <f t="shared" si="12"/>
        <v>17644.743360000004</v>
      </c>
      <c r="X16" s="44">
        <f t="shared" si="13"/>
        <v>20585.53392</v>
      </c>
      <c r="Y16" s="44">
        <f t="shared" si="14"/>
        <v>23526.324480000003</v>
      </c>
      <c r="AA16">
        <f>95000000*0.6</f>
        <v>57000000</v>
      </c>
    </row>
    <row r="17" spans="1:25" ht="15">
      <c r="A17" s="53" t="s">
        <v>36</v>
      </c>
      <c r="B17" s="44"/>
      <c r="C17" s="52" t="s">
        <v>37</v>
      </c>
      <c r="D17" s="44">
        <f>+B50</f>
        <v>26956.263680280008</v>
      </c>
      <c r="F17" s="29" t="s">
        <v>38</v>
      </c>
      <c r="G17" s="44">
        <f t="shared" si="0"/>
        <v>26423.63862415201</v>
      </c>
      <c r="H17" s="44">
        <f t="shared" si="3"/>
        <v>31708.366348982407</v>
      </c>
      <c r="I17" s="44">
        <f t="shared" si="4"/>
        <v>36993.09407381281</v>
      </c>
      <c r="J17" s="44">
        <f t="shared" si="5"/>
        <v>42277.821798643214</v>
      </c>
      <c r="K17" s="29" t="s">
        <v>38</v>
      </c>
      <c r="L17" s="44">
        <f>10898.37*1.2</f>
        <v>13078.044</v>
      </c>
      <c r="M17" s="44">
        <f t="shared" si="6"/>
        <v>15693.6528</v>
      </c>
      <c r="N17" s="44">
        <f t="shared" si="7"/>
        <v>18309.2616</v>
      </c>
      <c r="O17" s="44">
        <f t="shared" si="8"/>
        <v>20924.8704</v>
      </c>
      <c r="P17" s="29" t="s">
        <v>38</v>
      </c>
      <c r="Q17" s="44">
        <f t="shared" si="15"/>
        <v>26423.63862415201</v>
      </c>
      <c r="R17" s="44">
        <f t="shared" si="9"/>
        <v>31708.366348982407</v>
      </c>
      <c r="S17" s="44">
        <f t="shared" si="10"/>
        <v>36993.09407381281</v>
      </c>
      <c r="T17" s="44">
        <f t="shared" si="11"/>
        <v>42277.821798643214</v>
      </c>
      <c r="U17" s="29" t="s">
        <v>38</v>
      </c>
      <c r="V17" s="44">
        <f>10898.37*1.36</f>
        <v>14821.783200000002</v>
      </c>
      <c r="W17" s="44">
        <f t="shared" si="12"/>
        <v>17786.139840000003</v>
      </c>
      <c r="X17" s="44">
        <f t="shared" si="13"/>
        <v>20750.496480000005</v>
      </c>
      <c r="Y17" s="44">
        <f t="shared" si="14"/>
        <v>23714.85312</v>
      </c>
    </row>
    <row r="18" spans="1:27" ht="15">
      <c r="A18" s="51" t="s">
        <v>39</v>
      </c>
      <c r="B18" s="44">
        <f>20798.99*1.1*1.1</f>
        <v>25166.777900000005</v>
      </c>
      <c r="C18" s="52" t="s">
        <v>40</v>
      </c>
      <c r="D18" s="44">
        <f>11187.91*1.38*1.1*1.1*1.2*1.1*1.1</f>
        <v>27125.64271533601</v>
      </c>
      <c r="F18" s="29" t="s">
        <v>41</v>
      </c>
      <c r="G18" s="44">
        <f>+D15</f>
        <v>26476.833242376004</v>
      </c>
      <c r="H18" s="44">
        <f t="shared" si="3"/>
        <v>31772.199890851207</v>
      </c>
      <c r="I18" s="44">
        <f t="shared" si="4"/>
        <v>37067.566539326406</v>
      </c>
      <c r="J18" s="44">
        <f t="shared" si="5"/>
        <v>42362.93318780161</v>
      </c>
      <c r="K18" s="29" t="s">
        <v>41</v>
      </c>
      <c r="L18" s="44">
        <f>10920.31*1.2</f>
        <v>13104.372</v>
      </c>
      <c r="M18" s="44">
        <f t="shared" si="6"/>
        <v>15725.2464</v>
      </c>
      <c r="N18" s="44">
        <f t="shared" si="7"/>
        <v>18346.120799999997</v>
      </c>
      <c r="O18" s="44">
        <f t="shared" si="8"/>
        <v>20966.995199999998</v>
      </c>
      <c r="P18" s="29" t="s">
        <v>41</v>
      </c>
      <c r="Q18" s="44">
        <f t="shared" si="15"/>
        <v>26476.833242376004</v>
      </c>
      <c r="R18" s="44">
        <f t="shared" si="9"/>
        <v>31772.199890851207</v>
      </c>
      <c r="S18" s="44">
        <f t="shared" si="10"/>
        <v>37067.566539326406</v>
      </c>
      <c r="T18" s="44">
        <f t="shared" si="11"/>
        <v>42362.93318780161</v>
      </c>
      <c r="U18" s="29" t="s">
        <v>41</v>
      </c>
      <c r="V18" s="44">
        <f>10920.31*1.36</f>
        <v>14851.6216</v>
      </c>
      <c r="W18" s="44">
        <f t="shared" si="12"/>
        <v>17821.945920000002</v>
      </c>
      <c r="X18" s="44">
        <f t="shared" si="13"/>
        <v>20792.270239999998</v>
      </c>
      <c r="Y18" s="44">
        <f t="shared" si="14"/>
        <v>23762.59456</v>
      </c>
      <c r="AA18">
        <f>5700000/500000</f>
        <v>11.4</v>
      </c>
    </row>
    <row r="19" spans="1:25" ht="15">
      <c r="A19" s="51" t="s">
        <v>42</v>
      </c>
      <c r="B19" s="44">
        <f>10408.41*1.38*1.1*1.1*1.2*1.1*1.1</f>
        <v>25235.706302136005</v>
      </c>
      <c r="C19" s="54" t="s">
        <v>43</v>
      </c>
      <c r="D19" s="44"/>
      <c r="F19" s="29" t="s">
        <v>44</v>
      </c>
      <c r="G19" s="44">
        <f>+D16</f>
        <v>26716.499970336</v>
      </c>
      <c r="H19" s="44">
        <f t="shared" si="3"/>
        <v>32059.799964403202</v>
      </c>
      <c r="I19" s="44">
        <f t="shared" si="4"/>
        <v>37403.099958470404</v>
      </c>
      <c r="J19" s="44">
        <f t="shared" si="5"/>
        <v>42746.3999525376</v>
      </c>
      <c r="K19" s="29" t="s">
        <v>44</v>
      </c>
      <c r="L19" s="44">
        <f>11019.16*1.2</f>
        <v>13222.992</v>
      </c>
      <c r="M19" s="44">
        <f t="shared" si="6"/>
        <v>15867.5904</v>
      </c>
      <c r="N19" s="44">
        <f t="shared" si="7"/>
        <v>18512.1888</v>
      </c>
      <c r="O19" s="44">
        <f t="shared" si="8"/>
        <v>21156.787200000002</v>
      </c>
      <c r="P19" s="29" t="s">
        <v>44</v>
      </c>
      <c r="Q19" s="44">
        <f t="shared" si="15"/>
        <v>26716.499970336</v>
      </c>
      <c r="R19" s="44">
        <f t="shared" si="9"/>
        <v>32059.799964403202</v>
      </c>
      <c r="S19" s="44">
        <f t="shared" si="10"/>
        <v>37403.099958470404</v>
      </c>
      <c r="T19" s="44">
        <f t="shared" si="11"/>
        <v>42746.3999525376</v>
      </c>
      <c r="U19" s="29" t="s">
        <v>44</v>
      </c>
      <c r="V19" s="44">
        <f>11019.16*1.36</f>
        <v>14986.0576</v>
      </c>
      <c r="W19" s="44">
        <f t="shared" si="12"/>
        <v>17983.26912</v>
      </c>
      <c r="X19" s="44">
        <f t="shared" si="13"/>
        <v>20980.48064</v>
      </c>
      <c r="Y19" s="44">
        <f t="shared" si="14"/>
        <v>23977.69216</v>
      </c>
    </row>
    <row r="20" spans="1:25" ht="15">
      <c r="A20" s="51" t="s">
        <v>45</v>
      </c>
      <c r="B20" s="44">
        <f>10436.88*1.38*1.1*1.1*1.2*1.1*1.1</f>
        <v>25304.733229248006</v>
      </c>
      <c r="C20" s="52" t="s">
        <v>19</v>
      </c>
      <c r="D20" s="44">
        <f>+B24</f>
        <v>25793.595165096</v>
      </c>
      <c r="F20" s="29" t="s">
        <v>46</v>
      </c>
      <c r="G20" s="44">
        <f>+D17</f>
        <v>26956.263680280008</v>
      </c>
      <c r="H20" s="44">
        <f t="shared" si="3"/>
        <v>32347.51641633601</v>
      </c>
      <c r="I20" s="44">
        <f t="shared" si="4"/>
        <v>37738.769152392015</v>
      </c>
      <c r="J20" s="44">
        <f t="shared" si="5"/>
        <v>43130.02188844801</v>
      </c>
      <c r="K20" s="29" t="s">
        <v>46</v>
      </c>
      <c r="L20" s="44">
        <f>11118.05*1.2</f>
        <v>13341.659999999998</v>
      </c>
      <c r="M20" s="44">
        <f t="shared" si="6"/>
        <v>16009.991999999998</v>
      </c>
      <c r="N20" s="44">
        <f t="shared" si="7"/>
        <v>18678.324</v>
      </c>
      <c r="O20" s="44">
        <f t="shared" si="8"/>
        <v>21346.656</v>
      </c>
      <c r="P20" s="29" t="s">
        <v>46</v>
      </c>
      <c r="Q20" s="44">
        <f t="shared" si="15"/>
        <v>26956.263680280008</v>
      </c>
      <c r="R20" s="44">
        <f t="shared" si="9"/>
        <v>32347.51641633601</v>
      </c>
      <c r="S20" s="44">
        <f t="shared" si="10"/>
        <v>37738.769152392015</v>
      </c>
      <c r="T20" s="44">
        <f t="shared" si="11"/>
        <v>43130.02188844801</v>
      </c>
      <c r="U20" s="29" t="s">
        <v>46</v>
      </c>
      <c r="V20" s="44">
        <f>11118.05*1.36</f>
        <v>15120.548</v>
      </c>
      <c r="W20" s="44">
        <f t="shared" si="12"/>
        <v>18144.6576</v>
      </c>
      <c r="X20" s="44">
        <f t="shared" si="13"/>
        <v>21168.767200000002</v>
      </c>
      <c r="Y20" s="44">
        <f t="shared" si="14"/>
        <v>24192.876800000002</v>
      </c>
    </row>
    <row r="21" spans="1:31" ht="15">
      <c r="A21" s="51" t="s">
        <v>47</v>
      </c>
      <c r="B21" s="44">
        <f>10464.6*1.38*1.1*1.1*1.2*1.1*1.1</f>
        <v>25371.941744160005</v>
      </c>
      <c r="C21" s="52" t="s">
        <v>22</v>
      </c>
      <c r="D21" s="44">
        <f>+B25</f>
        <v>26003.633896944</v>
      </c>
      <c r="F21" s="29" t="s">
        <v>48</v>
      </c>
      <c r="G21" s="44">
        <f>+D18</f>
        <v>27125.64271533601</v>
      </c>
      <c r="H21" s="44">
        <f t="shared" si="3"/>
        <v>32550.77125840321</v>
      </c>
      <c r="I21" s="44">
        <f t="shared" si="4"/>
        <v>37975.89980147041</v>
      </c>
      <c r="J21" s="44">
        <f t="shared" si="5"/>
        <v>43401.02834453761</v>
      </c>
      <c r="K21" s="29" t="s">
        <v>48</v>
      </c>
      <c r="L21" s="44">
        <f>11187.91*1.2</f>
        <v>13425.492</v>
      </c>
      <c r="M21" s="44">
        <f t="shared" si="6"/>
        <v>16110.5904</v>
      </c>
      <c r="N21" s="44">
        <f t="shared" si="7"/>
        <v>18795.6888</v>
      </c>
      <c r="O21" s="44">
        <f t="shared" si="8"/>
        <v>21480.787200000002</v>
      </c>
      <c r="P21" s="29" t="s">
        <v>48</v>
      </c>
      <c r="Q21" s="44">
        <f t="shared" si="15"/>
        <v>27125.64271533601</v>
      </c>
      <c r="R21" s="44">
        <f t="shared" si="9"/>
        <v>32550.77125840321</v>
      </c>
      <c r="S21" s="44">
        <f t="shared" si="10"/>
        <v>37975.89980147041</v>
      </c>
      <c r="T21" s="44">
        <f t="shared" si="11"/>
        <v>43401.02834453761</v>
      </c>
      <c r="U21" s="29" t="s">
        <v>48</v>
      </c>
      <c r="V21" s="44">
        <f>11187.91*1.36</f>
        <v>15215.5576</v>
      </c>
      <c r="W21" s="44">
        <f t="shared" si="12"/>
        <v>18258.66912</v>
      </c>
      <c r="X21" s="44">
        <f t="shared" si="13"/>
        <v>21301.78064</v>
      </c>
      <c r="Y21" s="44">
        <f t="shared" si="14"/>
        <v>24344.89216</v>
      </c>
      <c r="AE21" t="s">
        <v>49</v>
      </c>
    </row>
    <row r="22" spans="1:31" ht="15">
      <c r="A22" s="51" t="s">
        <v>13</v>
      </c>
      <c r="B22" s="44">
        <f>10493.69*1.38*1.1*1.1*1.2*1.1*1.1</f>
        <v>25442.471892024005</v>
      </c>
      <c r="C22" s="52" t="s">
        <v>25</v>
      </c>
      <c r="D22" s="44">
        <f>+D13</f>
        <v>26213.575646808</v>
      </c>
      <c r="F22" s="29" t="s">
        <v>50</v>
      </c>
      <c r="G22" s="44">
        <f>+D28</f>
        <v>27407.617833816006</v>
      </c>
      <c r="H22" s="44">
        <f t="shared" si="3"/>
        <v>32889.14140057921</v>
      </c>
      <c r="I22" s="44">
        <f t="shared" si="4"/>
        <v>38370.66496734241</v>
      </c>
      <c r="J22" s="44">
        <f t="shared" si="5"/>
        <v>43852.18853410561</v>
      </c>
      <c r="K22" s="29" t="s">
        <v>50</v>
      </c>
      <c r="L22" s="44">
        <f>11304.21*1.2</f>
        <v>13565.051999999998</v>
      </c>
      <c r="M22" s="44">
        <f t="shared" si="6"/>
        <v>16278.062399999997</v>
      </c>
      <c r="N22" s="44">
        <f t="shared" si="7"/>
        <v>18991.072799999998</v>
      </c>
      <c r="O22" s="44">
        <f t="shared" si="8"/>
        <v>21704.083199999997</v>
      </c>
      <c r="P22" s="29" t="s">
        <v>50</v>
      </c>
      <c r="Q22" s="44">
        <f>+D28</f>
        <v>27407.617833816006</v>
      </c>
      <c r="R22" s="44">
        <f t="shared" si="9"/>
        <v>32889.14140057921</v>
      </c>
      <c r="S22" s="44">
        <f t="shared" si="10"/>
        <v>38370.66496734241</v>
      </c>
      <c r="T22" s="44">
        <f t="shared" si="11"/>
        <v>43852.18853410561</v>
      </c>
      <c r="U22" s="29" t="s">
        <v>50</v>
      </c>
      <c r="V22" s="44">
        <f>11304.21*1.36</f>
        <v>15373.7256</v>
      </c>
      <c r="W22" s="44">
        <f t="shared" si="12"/>
        <v>18448.470719999998</v>
      </c>
      <c r="X22" s="44">
        <f t="shared" si="13"/>
        <v>21523.21584</v>
      </c>
      <c r="Y22" s="44">
        <f t="shared" si="14"/>
        <v>24597.96096</v>
      </c>
      <c r="AE22" t="s">
        <v>51</v>
      </c>
    </row>
    <row r="23" spans="1:31" ht="15">
      <c r="A23" s="51" t="s">
        <v>16</v>
      </c>
      <c r="B23" s="44">
        <f>10551.85*1.38*1.1*1.1*1.2*1.1*1.1</f>
        <v>25583.483696760006</v>
      </c>
      <c r="C23" s="52" t="s">
        <v>28</v>
      </c>
      <c r="D23" s="44">
        <f>+B27</f>
        <v>26423.63862415201</v>
      </c>
      <c r="F23" s="29" t="s">
        <v>52</v>
      </c>
      <c r="G23" s="44">
        <f>+D29</f>
        <v>27690.077862216003</v>
      </c>
      <c r="H23" s="44">
        <f t="shared" si="3"/>
        <v>33228.093434659204</v>
      </c>
      <c r="I23" s="44">
        <f t="shared" si="4"/>
        <v>38766.10900710241</v>
      </c>
      <c r="J23" s="44">
        <f t="shared" si="5"/>
        <v>44304.124579545605</v>
      </c>
      <c r="K23" s="29" t="s">
        <v>52</v>
      </c>
      <c r="L23" s="44">
        <f>11420.71*1.2</f>
        <v>13704.851999999999</v>
      </c>
      <c r="M23" s="44">
        <f t="shared" si="6"/>
        <v>16445.822399999997</v>
      </c>
      <c r="N23" s="44">
        <f t="shared" si="7"/>
        <v>19186.7928</v>
      </c>
      <c r="O23" s="44">
        <f t="shared" si="8"/>
        <v>21927.763199999998</v>
      </c>
      <c r="P23" s="29" t="s">
        <v>52</v>
      </c>
      <c r="Q23" s="44">
        <f>+D29</f>
        <v>27690.077862216003</v>
      </c>
      <c r="R23" s="44">
        <f t="shared" si="9"/>
        <v>33228.093434659204</v>
      </c>
      <c r="S23" s="44">
        <f t="shared" si="10"/>
        <v>38766.10900710241</v>
      </c>
      <c r="T23" s="44">
        <f t="shared" si="11"/>
        <v>44304.124579545605</v>
      </c>
      <c r="U23" s="29" t="s">
        <v>52</v>
      </c>
      <c r="V23" s="44">
        <f>11420.71*1.36</f>
        <v>15532.1656</v>
      </c>
      <c r="W23" s="44">
        <f t="shared" si="12"/>
        <v>18638.59872</v>
      </c>
      <c r="X23" s="44">
        <f t="shared" si="13"/>
        <v>21745.03184</v>
      </c>
      <c r="Y23" s="44">
        <f t="shared" si="14"/>
        <v>24851.46496</v>
      </c>
      <c r="AE23" t="s">
        <v>53</v>
      </c>
    </row>
    <row r="24" spans="1:4" ht="15">
      <c r="A24" s="51" t="s">
        <v>19</v>
      </c>
      <c r="B24" s="44">
        <f>10638.51*1.38*1.1*1.1*1.2*1.1*1.1</f>
        <v>25793.595165096</v>
      </c>
      <c r="C24" s="52" t="s">
        <v>31</v>
      </c>
      <c r="D24" s="44">
        <f>+B38</f>
        <v>26476.833242376004</v>
      </c>
    </row>
    <row r="25" spans="1:31" ht="15">
      <c r="A25" s="51" t="s">
        <v>22</v>
      </c>
      <c r="B25" s="44">
        <f>10725.14*1.38*1.1*1.1*1.2*1.1*1.1</f>
        <v>26003.633896944</v>
      </c>
      <c r="C25" s="52" t="s">
        <v>34</v>
      </c>
      <c r="D25" s="44">
        <f>+B49</f>
        <v>26716.499970336</v>
      </c>
      <c r="AE25" t="s">
        <v>54</v>
      </c>
    </row>
    <row r="26" spans="1:25" ht="15">
      <c r="A26" s="51" t="s">
        <v>25</v>
      </c>
      <c r="B26" s="44">
        <f>10811.73*1.38*1.1*1.1*1.2*1.1*1.1</f>
        <v>26213.575646808</v>
      </c>
      <c r="C26" s="52" t="s">
        <v>37</v>
      </c>
      <c r="D26" s="44">
        <f>+B50</f>
        <v>26956.263680280008</v>
      </c>
      <c r="I26">
        <f>14324*1.35</f>
        <v>19337.4</v>
      </c>
      <c r="V26">
        <v>10379</v>
      </c>
      <c r="W26">
        <v>14116</v>
      </c>
      <c r="X26">
        <v>15116</v>
      </c>
      <c r="Y26">
        <v>15616</v>
      </c>
    </row>
    <row r="27" spans="1:25" ht="15">
      <c r="A27" s="51" t="s">
        <v>28</v>
      </c>
      <c r="B27" s="44">
        <f>10898.37*1.38*1.1*1.1*1.2*1.1*1.1</f>
        <v>26423.63862415201</v>
      </c>
      <c r="C27" s="52" t="s">
        <v>40</v>
      </c>
      <c r="D27" s="44">
        <f>+D18</f>
        <v>27125.64271533601</v>
      </c>
      <c r="F27">
        <v>3730</v>
      </c>
      <c r="G27">
        <f>10379*1.38</f>
        <v>14323.019999999999</v>
      </c>
      <c r="W27">
        <f>+(W26-V26)/V26</f>
        <v>0.36005395510164756</v>
      </c>
      <c r="X27">
        <f>+(X26-V26)/V26</f>
        <v>0.4564023509008575</v>
      </c>
      <c r="Y27">
        <f>+(Y26-V26)/V26</f>
        <v>0.5045765488004624</v>
      </c>
    </row>
    <row r="28" spans="1:18" ht="15">
      <c r="A28" s="53" t="s">
        <v>55</v>
      </c>
      <c r="B28" s="44"/>
      <c r="C28" s="52" t="s">
        <v>56</v>
      </c>
      <c r="D28" s="44">
        <f>11304.21*1.38*1.1*1.1*1.2*1.1*1.1</f>
        <v>27407.617833816006</v>
      </c>
      <c r="F28">
        <v>3730</v>
      </c>
      <c r="J28">
        <f>3730+3730+3730+(3730*0.84)</f>
        <v>14323.2</v>
      </c>
      <c r="R28">
        <f>40+25+47+35</f>
        <v>147</v>
      </c>
    </row>
    <row r="29" spans="1:20" ht="15">
      <c r="A29" s="51" t="s">
        <v>42</v>
      </c>
      <c r="B29" s="44">
        <f aca="true" t="shared" si="16" ref="B29:B37">+B19</f>
        <v>25235.706302136005</v>
      </c>
      <c r="C29" s="52" t="s">
        <v>57</v>
      </c>
      <c r="D29" s="44">
        <f>11420.71*1.38*1.1*1.1*1.2*1.1*1.1</f>
        <v>27690.077862216003</v>
      </c>
      <c r="F29">
        <v>3730</v>
      </c>
      <c r="T29">
        <f>150/4</f>
        <v>37.5</v>
      </c>
    </row>
    <row r="30" spans="1:32" ht="15">
      <c r="A30" s="51" t="s">
        <v>45</v>
      </c>
      <c r="B30" s="44">
        <f t="shared" si="16"/>
        <v>25304.733229248006</v>
      </c>
      <c r="C30" s="54" t="s">
        <v>58</v>
      </c>
      <c r="D30" s="55"/>
      <c r="F30">
        <v>3730</v>
      </c>
      <c r="AF30">
        <v>35000</v>
      </c>
    </row>
    <row r="31" spans="1:9" ht="15">
      <c r="A31" s="51" t="s">
        <v>47</v>
      </c>
      <c r="B31" s="44">
        <f t="shared" si="16"/>
        <v>25371.941744160005</v>
      </c>
      <c r="C31" s="52" t="s">
        <v>59</v>
      </c>
      <c r="D31" s="55">
        <f>10898.37*1.38*1.1*1.1*1.2*1.1*1.1</f>
        <v>26423.63862415201</v>
      </c>
      <c r="H31">
        <v>15756</v>
      </c>
      <c r="I31">
        <f>30600*48/30</f>
        <v>48960</v>
      </c>
    </row>
    <row r="32" spans="1:8" ht="15">
      <c r="A32" s="51" t="s">
        <v>13</v>
      </c>
      <c r="B32" s="44">
        <f t="shared" si="16"/>
        <v>25442.471892024005</v>
      </c>
      <c r="C32" s="52" t="s">
        <v>60</v>
      </c>
      <c r="D32" s="55">
        <f>11331.47*1.38*1.1*1.1*1.2*1.1*1.1</f>
        <v>27473.711055912005</v>
      </c>
      <c r="F32">
        <f>3730/14323</f>
        <v>0.26042030300914615</v>
      </c>
      <c r="H32">
        <f>15756*48/30</f>
        <v>25209.6</v>
      </c>
    </row>
    <row r="33" spans="1:4" ht="15">
      <c r="A33" s="51" t="s">
        <v>16</v>
      </c>
      <c r="B33" s="44">
        <f t="shared" si="16"/>
        <v>25583.483696760006</v>
      </c>
      <c r="C33" s="52" t="s">
        <v>61</v>
      </c>
      <c r="D33" s="55">
        <f>11937.77*1.38*1.1*1.1*1.2*1.1*1.1</f>
        <v>28943.71547839201</v>
      </c>
    </row>
    <row r="34" spans="1:6" ht="15">
      <c r="A34" s="51" t="s">
        <v>19</v>
      </c>
      <c r="B34" s="44">
        <f t="shared" si="16"/>
        <v>25793.595165096</v>
      </c>
      <c r="C34" s="52" t="s">
        <v>62</v>
      </c>
      <c r="D34" s="55">
        <f>14103.19*1.38*1.1*1.1*1.2*1.1*1.1</f>
        <v>34193.883673224016</v>
      </c>
      <c r="F34">
        <f>+B18*1.1</f>
        <v>27683.455690000006</v>
      </c>
    </row>
    <row r="35" spans="1:7" ht="15">
      <c r="A35" s="51" t="s">
        <v>22</v>
      </c>
      <c r="B35" s="44">
        <f t="shared" si="16"/>
        <v>26003.633896944</v>
      </c>
      <c r="C35" s="52" t="s">
        <v>63</v>
      </c>
      <c r="D35" s="55">
        <f>0.3337*B9</f>
        <v>100538.53487039974</v>
      </c>
      <c r="G35">
        <f>489*450</f>
        <v>220050</v>
      </c>
    </row>
    <row r="36" spans="1:6" ht="15">
      <c r="A36" s="51" t="s">
        <v>25</v>
      </c>
      <c r="B36" s="44">
        <f t="shared" si="16"/>
        <v>26213.575646808</v>
      </c>
      <c r="C36" s="52" t="s">
        <v>64</v>
      </c>
      <c r="D36" s="55">
        <f>0.65*D38</f>
        <v>65350.047665759834</v>
      </c>
      <c r="F36">
        <v>17333</v>
      </c>
    </row>
    <row r="37" spans="1:6" ht="15">
      <c r="A37" s="51" t="s">
        <v>28</v>
      </c>
      <c r="B37" s="44">
        <f t="shared" si="16"/>
        <v>26423.63862415201</v>
      </c>
      <c r="C37" s="52" t="s">
        <v>65</v>
      </c>
      <c r="D37" s="55">
        <f>0.65*D35</f>
        <v>65350.047665759834</v>
      </c>
      <c r="F37">
        <v>14324</v>
      </c>
    </row>
    <row r="38" spans="1:4" ht="15">
      <c r="A38" s="51" t="s">
        <v>31</v>
      </c>
      <c r="B38" s="44">
        <f>10920.31*1.38*1.1*1.1*1.2*1.1*1.1</f>
        <v>26476.833242376004</v>
      </c>
      <c r="C38" s="52" t="s">
        <v>66</v>
      </c>
      <c r="D38" s="55">
        <f>0.3337*B9</f>
        <v>100538.53487039974</v>
      </c>
    </row>
    <row r="39" spans="1:4" ht="15">
      <c r="A39" s="53" t="s">
        <v>67</v>
      </c>
      <c r="B39" s="44"/>
      <c r="C39" s="52" t="s">
        <v>68</v>
      </c>
      <c r="D39" s="55">
        <f>0.65*D40</f>
        <v>79332.6470164798</v>
      </c>
    </row>
    <row r="40" spans="1:4" ht="15">
      <c r="A40" s="51" t="s">
        <v>69</v>
      </c>
      <c r="B40" s="44">
        <f>15562.2*1.1*1.1</f>
        <v>18830.262000000002</v>
      </c>
      <c r="C40" s="52" t="s">
        <v>70</v>
      </c>
      <c r="D40" s="55">
        <f>0.4051*B9</f>
        <v>122050.22617919969</v>
      </c>
    </row>
    <row r="41" spans="1:4" ht="15">
      <c r="A41" s="51" t="s">
        <v>47</v>
      </c>
      <c r="B41" s="44">
        <f aca="true" t="shared" si="17" ref="B41:B47">+B21</f>
        <v>25371.941744160005</v>
      </c>
      <c r="C41" s="52" t="s">
        <v>71</v>
      </c>
      <c r="D41" s="55">
        <v>1050</v>
      </c>
    </row>
    <row r="42" spans="1:10" ht="15">
      <c r="A42" s="51" t="s">
        <v>13</v>
      </c>
      <c r="B42" s="44">
        <f t="shared" si="17"/>
        <v>25442.471892024005</v>
      </c>
      <c r="C42" s="49"/>
      <c r="D42" s="47"/>
      <c r="I42">
        <f>25500000*0.1</f>
        <v>2550000</v>
      </c>
      <c r="J42">
        <f>25500000*0.15</f>
        <v>3825000</v>
      </c>
    </row>
    <row r="43" spans="1:9" ht="15">
      <c r="A43" s="51" t="s">
        <v>16</v>
      </c>
      <c r="B43" s="44">
        <f t="shared" si="17"/>
        <v>25583.483696760006</v>
      </c>
      <c r="C43" s="44" t="s">
        <v>72</v>
      </c>
      <c r="D43" s="56">
        <v>1500</v>
      </c>
      <c r="I43">
        <f>1500*700</f>
        <v>1050000</v>
      </c>
    </row>
    <row r="44" spans="1:9" ht="15">
      <c r="A44" s="51" t="s">
        <v>19</v>
      </c>
      <c r="B44" s="44">
        <f t="shared" si="17"/>
        <v>25793.595165096</v>
      </c>
      <c r="C44" s="49"/>
      <c r="D44" s="47"/>
      <c r="G44">
        <f>1000*800</f>
        <v>800000</v>
      </c>
      <c r="I44">
        <f>+I43+I42</f>
        <v>3600000</v>
      </c>
    </row>
    <row r="45" spans="1:4" ht="15">
      <c r="A45" s="51" t="s">
        <v>22</v>
      </c>
      <c r="B45" s="44">
        <f t="shared" si="17"/>
        <v>26003.633896944</v>
      </c>
      <c r="C45" s="49"/>
      <c r="D45" s="47"/>
    </row>
    <row r="46" spans="1:4" ht="15">
      <c r="A46" s="51" t="s">
        <v>25</v>
      </c>
      <c r="B46" s="44">
        <f t="shared" si="17"/>
        <v>26213.575646808</v>
      </c>
      <c r="C46" s="49"/>
      <c r="D46" s="47"/>
    </row>
    <row r="47" spans="1:4" ht="15">
      <c r="A47" s="51" t="s">
        <v>28</v>
      </c>
      <c r="B47" s="44">
        <f t="shared" si="17"/>
        <v>26423.63862415201</v>
      </c>
      <c r="C47" s="49"/>
      <c r="D47" s="47"/>
    </row>
    <row r="48" spans="1:4" ht="15">
      <c r="A48" s="51" t="s">
        <v>31</v>
      </c>
      <c r="B48" s="44">
        <f>+B38</f>
        <v>26476.833242376004</v>
      </c>
      <c r="C48" s="49"/>
      <c r="D48" s="47"/>
    </row>
    <row r="49" spans="1:4" ht="15">
      <c r="A49" s="51" t="s">
        <v>34</v>
      </c>
      <c r="B49" s="44">
        <f>11019.16*1.38*1.1*1.1*1.2*1.1*1.1</f>
        <v>26716.499970336</v>
      </c>
      <c r="C49" s="49"/>
      <c r="D49" s="47"/>
    </row>
    <row r="50" spans="1:7" ht="15">
      <c r="A50" s="51" t="s">
        <v>37</v>
      </c>
      <c r="B50" s="44">
        <f>11118.05*1.38*1.1*1.1*1.2*1.1*1.1</f>
        <v>26956.263680280008</v>
      </c>
      <c r="C50" s="49"/>
      <c r="D50" s="47"/>
      <c r="G50">
        <v>31836402</v>
      </c>
    </row>
    <row r="51" spans="1:4" ht="15">
      <c r="A51" s="57"/>
      <c r="B51" s="58"/>
      <c r="C51" s="58"/>
      <c r="D51" s="59"/>
    </row>
  </sheetData>
  <sheetProtection/>
  <mergeCells count="6">
    <mergeCell ref="A6:C6"/>
    <mergeCell ref="F6:J6"/>
    <mergeCell ref="K6:O6"/>
    <mergeCell ref="P6:T6"/>
    <mergeCell ref="U6:Y6"/>
    <mergeCell ref="A7:C7"/>
  </mergeCells>
  <printOptions/>
  <pageMargins left="1.299212598425197" right="0.5118110236220472" top="2.1653543307086616" bottom="0.35433070866141736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55"/>
  <sheetViews>
    <sheetView zoomScaleSheetLayoutView="100" workbookViewId="0" topLeftCell="A35">
      <selection activeCell="A9" sqref="A9:J55"/>
    </sheetView>
  </sheetViews>
  <sheetFormatPr defaultColWidth="11.00390625" defaultRowHeight="15"/>
  <cols>
    <col min="1" max="1" width="29.28125" style="0" customWidth="1"/>
    <col min="2" max="2" width="26.8515625" style="0" hidden="1" customWidth="1"/>
    <col min="3" max="3" width="13.8515625" style="0" hidden="1" customWidth="1"/>
    <col min="4" max="5" width="11.00390625" style="0" hidden="1" customWidth="1"/>
    <col min="6" max="6" width="11.7109375" style="0" hidden="1" customWidth="1"/>
    <col min="7" max="7" width="12.57421875" style="0" customWidth="1"/>
    <col min="8" max="10" width="12.00390625" style="0" customWidth="1"/>
  </cols>
  <sheetData>
    <row r="9" spans="1:3" ht="15">
      <c r="A9" s="77" t="s">
        <v>73</v>
      </c>
      <c r="B9" s="77"/>
      <c r="C9" s="77"/>
    </row>
    <row r="10" spans="1:10" ht="15">
      <c r="A10" t="s">
        <v>74</v>
      </c>
      <c r="C10" s="36"/>
      <c r="G10" s="78">
        <v>44562</v>
      </c>
      <c r="H10" s="79"/>
      <c r="I10" s="79"/>
      <c r="J10" s="79"/>
    </row>
    <row r="11" spans="3:10" ht="15">
      <c r="C11" s="37" t="s">
        <v>5</v>
      </c>
      <c r="G11" s="38" t="s">
        <v>75</v>
      </c>
      <c r="H11" s="39" t="s">
        <v>76</v>
      </c>
      <c r="I11" s="39" t="s">
        <v>77</v>
      </c>
      <c r="J11" s="39" t="s">
        <v>78</v>
      </c>
    </row>
    <row r="12" spans="3:6" ht="15">
      <c r="C12" s="28" t="s">
        <v>79</v>
      </c>
      <c r="D12" s="40" t="s">
        <v>4</v>
      </c>
      <c r="E12" s="41" t="s">
        <v>80</v>
      </c>
      <c r="F12" s="42"/>
    </row>
    <row r="13" spans="1:10" ht="15">
      <c r="A13" s="29" t="s">
        <v>39</v>
      </c>
      <c r="B13" s="43">
        <f>4849.96+1000</f>
        <v>5849.96</v>
      </c>
      <c r="C13" s="33">
        <v>8370.95</v>
      </c>
      <c r="D13" s="33">
        <f>1.24*C13</f>
        <v>10379.978000000001</v>
      </c>
      <c r="E13" s="29">
        <f>+C13*1.2</f>
        <v>10045.140000000001</v>
      </c>
      <c r="F13" s="29">
        <f>1.24*C13</f>
        <v>10379.978000000001</v>
      </c>
      <c r="G13" s="44">
        <f>+'ANEXO I'!B18</f>
        <v>25166.777900000005</v>
      </c>
      <c r="H13" s="44">
        <f>+(G13*36)/30</f>
        <v>30200.133480000008</v>
      </c>
      <c r="I13" s="44">
        <f>+(G13*42)/30</f>
        <v>35233.48906000001</v>
      </c>
      <c r="J13" s="44">
        <f>+(G13*48)/30</f>
        <v>40266.84464000001</v>
      </c>
    </row>
    <row r="14" spans="1:10" ht="15">
      <c r="A14" s="29" t="s">
        <v>81</v>
      </c>
      <c r="B14" s="43">
        <f aca="true" t="shared" si="0" ref="B14:G14">1.2*B13</f>
        <v>7019.952</v>
      </c>
      <c r="C14" s="33">
        <f t="shared" si="0"/>
        <v>10045.140000000001</v>
      </c>
      <c r="D14" s="33">
        <f t="shared" si="0"/>
        <v>12455.973600000001</v>
      </c>
      <c r="E14" s="33">
        <f t="shared" si="0"/>
        <v>12054.168000000001</v>
      </c>
      <c r="F14" s="33">
        <f t="shared" si="0"/>
        <v>12455.973600000001</v>
      </c>
      <c r="G14" s="44">
        <f t="shared" si="0"/>
        <v>30200.133480000004</v>
      </c>
      <c r="H14" s="44">
        <f aca="true" t="shared" si="1" ref="H14:H55">+(G14*36)/30</f>
        <v>36240.160176000005</v>
      </c>
      <c r="I14" s="44">
        <f aca="true" t="shared" si="2" ref="I14:I55">+(G14*42)/30</f>
        <v>42280.186872000006</v>
      </c>
      <c r="J14" s="44">
        <f aca="true" t="shared" si="3" ref="J14:J55">+(G14*48)/30</f>
        <v>48320.21356800001</v>
      </c>
    </row>
    <row r="15" spans="1:10" ht="15">
      <c r="A15" s="29" t="s">
        <v>82</v>
      </c>
      <c r="B15" s="43">
        <f aca="true" t="shared" si="4" ref="B15:G15">1.3*B13</f>
        <v>7604.948</v>
      </c>
      <c r="C15" s="33">
        <f t="shared" si="4"/>
        <v>10882.235</v>
      </c>
      <c r="D15" s="33">
        <f t="shared" si="4"/>
        <v>13493.971400000002</v>
      </c>
      <c r="E15" s="33">
        <f t="shared" si="4"/>
        <v>13058.682000000003</v>
      </c>
      <c r="F15" s="33">
        <f t="shared" si="4"/>
        <v>13493.971400000002</v>
      </c>
      <c r="G15" s="44">
        <f t="shared" si="4"/>
        <v>32716.811270000006</v>
      </c>
      <c r="H15" s="44">
        <f t="shared" si="1"/>
        <v>39260.173524000005</v>
      </c>
      <c r="I15" s="44">
        <f t="shared" si="2"/>
        <v>45803.535778000005</v>
      </c>
      <c r="J15" s="44">
        <f t="shared" si="3"/>
        <v>52346.89803200001</v>
      </c>
    </row>
    <row r="16" spans="1:10" ht="15">
      <c r="A16" s="29" t="s">
        <v>83</v>
      </c>
      <c r="B16" s="43">
        <f aca="true" t="shared" si="5" ref="B16:G16">1.5*B13</f>
        <v>8774.94</v>
      </c>
      <c r="C16" s="33">
        <f t="shared" si="5"/>
        <v>12556.425000000001</v>
      </c>
      <c r="D16" s="33">
        <f t="shared" si="5"/>
        <v>15569.967</v>
      </c>
      <c r="E16" s="33">
        <f t="shared" si="5"/>
        <v>15067.710000000003</v>
      </c>
      <c r="F16" s="33">
        <f t="shared" si="5"/>
        <v>15569.967</v>
      </c>
      <c r="G16" s="44">
        <f t="shared" si="5"/>
        <v>37750.16685000001</v>
      </c>
      <c r="H16" s="44">
        <f t="shared" si="1"/>
        <v>45300.20022000001</v>
      </c>
      <c r="I16" s="44">
        <f t="shared" si="2"/>
        <v>52850.23359000001</v>
      </c>
      <c r="J16" s="44">
        <f t="shared" si="3"/>
        <v>60400.266960000015</v>
      </c>
    </row>
    <row r="17" spans="1:10" ht="15">
      <c r="A17" s="29" t="s">
        <v>84</v>
      </c>
      <c r="B17" s="43">
        <f aca="true" t="shared" si="6" ref="B17:G17">1.25*B13</f>
        <v>7312.45</v>
      </c>
      <c r="C17" s="33">
        <f t="shared" si="6"/>
        <v>10463.6875</v>
      </c>
      <c r="D17" s="33">
        <f t="shared" si="6"/>
        <v>12974.972500000002</v>
      </c>
      <c r="E17" s="33">
        <f t="shared" si="6"/>
        <v>12556.425000000001</v>
      </c>
      <c r="F17" s="33">
        <f t="shared" si="6"/>
        <v>12974.972500000002</v>
      </c>
      <c r="G17" s="44">
        <f t="shared" si="6"/>
        <v>31458.472375000005</v>
      </c>
      <c r="H17" s="44">
        <f t="shared" si="1"/>
        <v>37750.16685000001</v>
      </c>
      <c r="I17" s="44">
        <f t="shared" si="2"/>
        <v>44041.86132500001</v>
      </c>
      <c r="J17" s="44">
        <f t="shared" si="3"/>
        <v>50333.5558</v>
      </c>
    </row>
    <row r="18" spans="1:10" ht="15">
      <c r="A18" s="29" t="s">
        <v>85</v>
      </c>
      <c r="B18" s="43">
        <f aca="true" t="shared" si="7" ref="B18:G18">1.45*B13</f>
        <v>8482.442</v>
      </c>
      <c r="C18" s="33">
        <f t="shared" si="7"/>
        <v>12137.8775</v>
      </c>
      <c r="D18" s="33">
        <f t="shared" si="7"/>
        <v>15050.9681</v>
      </c>
      <c r="E18" s="33">
        <f t="shared" si="7"/>
        <v>14565.453000000001</v>
      </c>
      <c r="F18" s="33">
        <f t="shared" si="7"/>
        <v>15050.9681</v>
      </c>
      <c r="G18" s="44">
        <f t="shared" si="7"/>
        <v>36491.82795500001</v>
      </c>
      <c r="H18" s="44">
        <f t="shared" si="1"/>
        <v>43790.19354600001</v>
      </c>
      <c r="I18" s="44">
        <f t="shared" si="2"/>
        <v>51088.55913700001</v>
      </c>
      <c r="J18" s="44">
        <f t="shared" si="3"/>
        <v>58386.924728000005</v>
      </c>
    </row>
    <row r="19" spans="1:10" ht="15">
      <c r="A19" s="29" t="s">
        <v>86</v>
      </c>
      <c r="B19" s="43">
        <f aca="true" t="shared" si="8" ref="B19:G19">1.7*B13</f>
        <v>9944.932</v>
      </c>
      <c r="C19" s="33">
        <f t="shared" si="8"/>
        <v>14230.615000000002</v>
      </c>
      <c r="D19" s="33">
        <f t="shared" si="8"/>
        <v>17645.962600000003</v>
      </c>
      <c r="E19" s="33">
        <f t="shared" si="8"/>
        <v>17076.738</v>
      </c>
      <c r="F19" s="33">
        <f t="shared" si="8"/>
        <v>17645.962600000003</v>
      </c>
      <c r="G19" s="44">
        <f t="shared" si="8"/>
        <v>42783.522430000005</v>
      </c>
      <c r="H19" s="44">
        <f t="shared" si="1"/>
        <v>51340.22691600001</v>
      </c>
      <c r="I19" s="44">
        <f t="shared" si="2"/>
        <v>59896.93140200001</v>
      </c>
      <c r="J19" s="44">
        <f t="shared" si="3"/>
        <v>68453.635888</v>
      </c>
    </row>
    <row r="20" spans="1:10" ht="15">
      <c r="A20" s="29" t="s">
        <v>42</v>
      </c>
      <c r="B20" s="43">
        <f>4868.16+1000</f>
        <v>5868.16</v>
      </c>
      <c r="C20" s="33">
        <v>8393.88</v>
      </c>
      <c r="D20" s="33">
        <f>1.24*C20</f>
        <v>10408.411199999999</v>
      </c>
      <c r="E20" s="29">
        <f>1.2*C20</f>
        <v>10072.655999999999</v>
      </c>
      <c r="F20" s="29">
        <f>1.24*C20</f>
        <v>10408.411199999999</v>
      </c>
      <c r="G20" s="45">
        <f>+'ANEXO I'!B19</f>
        <v>25235.706302136005</v>
      </c>
      <c r="H20" s="44">
        <f t="shared" si="1"/>
        <v>30282.847562563205</v>
      </c>
      <c r="I20" s="44">
        <f t="shared" si="2"/>
        <v>35329.98882299041</v>
      </c>
      <c r="J20" s="44">
        <f t="shared" si="3"/>
        <v>40377.13008341761</v>
      </c>
    </row>
    <row r="21" spans="1:10" ht="15">
      <c r="A21" s="29" t="s">
        <v>87</v>
      </c>
      <c r="B21" s="43">
        <f aca="true" t="shared" si="9" ref="B21:G21">1.2*B20</f>
        <v>7041.7919999999995</v>
      </c>
      <c r="C21" s="33">
        <f t="shared" si="9"/>
        <v>10072.655999999999</v>
      </c>
      <c r="D21" s="33">
        <f t="shared" si="9"/>
        <v>12490.093439999999</v>
      </c>
      <c r="E21" s="33">
        <f t="shared" si="9"/>
        <v>12087.187199999998</v>
      </c>
      <c r="F21" s="33">
        <f t="shared" si="9"/>
        <v>12490.093439999999</v>
      </c>
      <c r="G21" s="44">
        <f t="shared" si="9"/>
        <v>30282.847562563205</v>
      </c>
      <c r="H21" s="44">
        <f t="shared" si="1"/>
        <v>36339.41707507584</v>
      </c>
      <c r="I21" s="44">
        <f t="shared" si="2"/>
        <v>42395.986587588486</v>
      </c>
      <c r="J21" s="44">
        <f t="shared" si="3"/>
        <v>48452.55610010113</v>
      </c>
    </row>
    <row r="22" spans="1:10" ht="15">
      <c r="A22" s="29" t="s">
        <v>88</v>
      </c>
      <c r="B22" s="43">
        <f aca="true" t="shared" si="10" ref="B22:G22">1.3*B20</f>
        <v>7628.608</v>
      </c>
      <c r="C22" s="33">
        <f t="shared" si="10"/>
        <v>10912.044</v>
      </c>
      <c r="D22" s="33">
        <f t="shared" si="10"/>
        <v>13530.934559999998</v>
      </c>
      <c r="E22" s="33">
        <f t="shared" si="10"/>
        <v>13094.4528</v>
      </c>
      <c r="F22" s="33">
        <f t="shared" si="10"/>
        <v>13530.934559999998</v>
      </c>
      <c r="G22" s="44">
        <f t="shared" si="10"/>
        <v>32806.41819277681</v>
      </c>
      <c r="H22" s="44">
        <f t="shared" si="1"/>
        <v>39367.70183133217</v>
      </c>
      <c r="I22" s="44">
        <f t="shared" si="2"/>
        <v>45928.98546988753</v>
      </c>
      <c r="J22" s="44">
        <f t="shared" si="3"/>
        <v>52490.269108442895</v>
      </c>
    </row>
    <row r="23" spans="1:10" ht="15">
      <c r="A23" s="29" t="s">
        <v>89</v>
      </c>
      <c r="B23" s="43">
        <f aca="true" t="shared" si="11" ref="B23:G23">1.5*B20</f>
        <v>8802.24</v>
      </c>
      <c r="C23" s="33">
        <f t="shared" si="11"/>
        <v>12590.82</v>
      </c>
      <c r="D23" s="33">
        <f t="shared" si="11"/>
        <v>15612.616799999998</v>
      </c>
      <c r="E23" s="33">
        <f t="shared" si="11"/>
        <v>15108.983999999999</v>
      </c>
      <c r="F23" s="33">
        <f t="shared" si="11"/>
        <v>15612.616799999998</v>
      </c>
      <c r="G23" s="44">
        <f t="shared" si="11"/>
        <v>37853.559453204005</v>
      </c>
      <c r="H23" s="44">
        <f t="shared" si="1"/>
        <v>45424.271343844805</v>
      </c>
      <c r="I23" s="44">
        <f t="shared" si="2"/>
        <v>52994.983234485604</v>
      </c>
      <c r="J23" s="44">
        <f t="shared" si="3"/>
        <v>60565.6951251264</v>
      </c>
    </row>
    <row r="24" spans="1:10" ht="15">
      <c r="A24" s="29" t="s">
        <v>45</v>
      </c>
      <c r="B24" s="43">
        <f>4886.38+1000</f>
        <v>5886.38</v>
      </c>
      <c r="C24" s="33">
        <v>8416.84</v>
      </c>
      <c r="D24" s="33">
        <f>1.24*C24</f>
        <v>10436.8816</v>
      </c>
      <c r="E24" s="29">
        <f>1.2*C24</f>
        <v>10100.208</v>
      </c>
      <c r="F24" s="29">
        <f>1.24*C24</f>
        <v>10436.8816</v>
      </c>
      <c r="G24" s="45">
        <f>+'ANEXO I'!B20</f>
        <v>25304.733229248006</v>
      </c>
      <c r="H24" s="44">
        <f t="shared" si="1"/>
        <v>30365.679875097605</v>
      </c>
      <c r="I24" s="44">
        <f t="shared" si="2"/>
        <v>35426.62652094721</v>
      </c>
      <c r="J24" s="44">
        <f t="shared" si="3"/>
        <v>40487.573166796814</v>
      </c>
    </row>
    <row r="25" spans="1:10" ht="15">
      <c r="A25" s="29" t="s">
        <v>90</v>
      </c>
      <c r="B25" s="43">
        <f aca="true" t="shared" si="12" ref="B25:G25">1.2*B24</f>
        <v>7063.656</v>
      </c>
      <c r="C25" s="33">
        <f t="shared" si="12"/>
        <v>10100.208</v>
      </c>
      <c r="D25" s="33">
        <f t="shared" si="12"/>
        <v>12524.25792</v>
      </c>
      <c r="E25" s="33">
        <f t="shared" si="12"/>
        <v>12120.249600000001</v>
      </c>
      <c r="F25" s="33">
        <f t="shared" si="12"/>
        <v>12524.25792</v>
      </c>
      <c r="G25" s="44">
        <f t="shared" si="12"/>
        <v>30365.679875097605</v>
      </c>
      <c r="H25" s="44">
        <f t="shared" si="1"/>
        <v>36438.81585011713</v>
      </c>
      <c r="I25" s="44">
        <f t="shared" si="2"/>
        <v>42511.951825136646</v>
      </c>
      <c r="J25" s="44">
        <f t="shared" si="3"/>
        <v>48585.08780015617</v>
      </c>
    </row>
    <row r="26" spans="1:10" ht="15">
      <c r="A26" s="29" t="s">
        <v>91</v>
      </c>
      <c r="B26" s="43">
        <f aca="true" t="shared" si="13" ref="B26:G26">1.3*B24</f>
        <v>7652.294000000001</v>
      </c>
      <c r="C26" s="33">
        <f t="shared" si="13"/>
        <v>10941.892</v>
      </c>
      <c r="D26" s="33">
        <f t="shared" si="13"/>
        <v>13567.946080000002</v>
      </c>
      <c r="E26" s="33">
        <f t="shared" si="13"/>
        <v>13130.270400000001</v>
      </c>
      <c r="F26" s="33">
        <f t="shared" si="13"/>
        <v>13567.946080000002</v>
      </c>
      <c r="G26" s="44">
        <f t="shared" si="13"/>
        <v>32896.15319802241</v>
      </c>
      <c r="H26" s="44">
        <f t="shared" si="1"/>
        <v>39475.38383762689</v>
      </c>
      <c r="I26" s="44">
        <f t="shared" si="2"/>
        <v>46054.61447723138</v>
      </c>
      <c r="J26" s="44">
        <f t="shared" si="3"/>
        <v>52633.84511683586</v>
      </c>
    </row>
    <row r="27" spans="1:10" ht="15">
      <c r="A27" s="29" t="s">
        <v>92</v>
      </c>
      <c r="B27" s="43">
        <f aca="true" t="shared" si="14" ref="B27:G27">1.5*B24</f>
        <v>8829.57</v>
      </c>
      <c r="C27" s="33">
        <f t="shared" si="14"/>
        <v>12625.26</v>
      </c>
      <c r="D27" s="33">
        <f t="shared" si="14"/>
        <v>15655.322400000001</v>
      </c>
      <c r="E27" s="33">
        <f t="shared" si="14"/>
        <v>15150.312000000002</v>
      </c>
      <c r="F27" s="33">
        <f t="shared" si="14"/>
        <v>15655.322400000001</v>
      </c>
      <c r="G27" s="44">
        <f t="shared" si="14"/>
        <v>37957.09984387201</v>
      </c>
      <c r="H27" s="44">
        <f t="shared" si="1"/>
        <v>45548.51981264642</v>
      </c>
      <c r="I27" s="44">
        <f t="shared" si="2"/>
        <v>53139.93978142082</v>
      </c>
      <c r="J27" s="44">
        <f t="shared" si="3"/>
        <v>60731.35975019522</v>
      </c>
    </row>
    <row r="28" spans="1:10" ht="15">
      <c r="A28" s="29" t="s">
        <v>47</v>
      </c>
      <c r="B28" s="43">
        <f>4904.12+1000</f>
        <v>5904.12</v>
      </c>
      <c r="C28" s="33">
        <v>8439.19</v>
      </c>
      <c r="D28" s="33">
        <f>1.24*C28</f>
        <v>10464.5956</v>
      </c>
      <c r="E28" s="29">
        <f>+C28*1.2</f>
        <v>10127.028</v>
      </c>
      <c r="F28" s="29">
        <f>1.24*C28</f>
        <v>10464.5956</v>
      </c>
      <c r="G28" s="45">
        <f>+'ANEXO I'!B21</f>
        <v>25371.941744160005</v>
      </c>
      <c r="H28" s="44">
        <f t="shared" si="1"/>
        <v>30446.330092992004</v>
      </c>
      <c r="I28" s="44">
        <f t="shared" si="2"/>
        <v>35520.71844182401</v>
      </c>
      <c r="J28" s="44">
        <f t="shared" si="3"/>
        <v>40595.106790656006</v>
      </c>
    </row>
    <row r="29" spans="1:10" ht="15">
      <c r="A29" s="29" t="s">
        <v>93</v>
      </c>
      <c r="B29" s="43">
        <f aca="true" t="shared" si="15" ref="B29:G29">1.2*B28</f>
        <v>7084.9439999999995</v>
      </c>
      <c r="C29" s="33">
        <f t="shared" si="15"/>
        <v>10127.028</v>
      </c>
      <c r="D29" s="33">
        <f t="shared" si="15"/>
        <v>12557.514720000001</v>
      </c>
      <c r="E29" s="33">
        <f t="shared" si="15"/>
        <v>12152.4336</v>
      </c>
      <c r="F29" s="33">
        <f t="shared" si="15"/>
        <v>12557.514720000001</v>
      </c>
      <c r="G29" s="44">
        <f t="shared" si="15"/>
        <v>30446.330092992004</v>
      </c>
      <c r="H29" s="44">
        <f t="shared" si="1"/>
        <v>36535.59611159041</v>
      </c>
      <c r="I29" s="44">
        <f t="shared" si="2"/>
        <v>42624.862130188805</v>
      </c>
      <c r="J29" s="44">
        <f t="shared" si="3"/>
        <v>48714.128148787204</v>
      </c>
    </row>
    <row r="30" spans="1:10" ht="15">
      <c r="A30" s="29" t="s">
        <v>94</v>
      </c>
      <c r="B30" s="43">
        <f aca="true" t="shared" si="16" ref="B30:G30">1.3*B28</f>
        <v>7675.356</v>
      </c>
      <c r="C30" s="33">
        <f t="shared" si="16"/>
        <v>10970.947000000002</v>
      </c>
      <c r="D30" s="33">
        <f t="shared" si="16"/>
        <v>13603.97428</v>
      </c>
      <c r="E30" s="33">
        <f t="shared" si="16"/>
        <v>13165.136400000001</v>
      </c>
      <c r="F30" s="33">
        <f t="shared" si="16"/>
        <v>13603.97428</v>
      </c>
      <c r="G30" s="44">
        <f t="shared" si="16"/>
        <v>32983.52426740801</v>
      </c>
      <c r="H30" s="44">
        <f t="shared" si="1"/>
        <v>39580.229120889606</v>
      </c>
      <c r="I30" s="44">
        <f t="shared" si="2"/>
        <v>46176.93397437121</v>
      </c>
      <c r="J30" s="44">
        <f t="shared" si="3"/>
        <v>52773.63882785281</v>
      </c>
    </row>
    <row r="31" spans="1:10" ht="15">
      <c r="A31" s="29" t="s">
        <v>95</v>
      </c>
      <c r="B31" s="43">
        <f aca="true" t="shared" si="17" ref="B31:G31">1.5*B28</f>
        <v>8856.18</v>
      </c>
      <c r="C31" s="33">
        <f t="shared" si="17"/>
        <v>12658.785</v>
      </c>
      <c r="D31" s="33">
        <f t="shared" si="17"/>
        <v>15696.8934</v>
      </c>
      <c r="E31" s="33">
        <f t="shared" si="17"/>
        <v>15190.542000000001</v>
      </c>
      <c r="F31" s="33">
        <f t="shared" si="17"/>
        <v>15696.8934</v>
      </c>
      <c r="G31" s="44">
        <f t="shared" si="17"/>
        <v>38057.912616240006</v>
      </c>
      <c r="H31" s="44">
        <f t="shared" si="1"/>
        <v>45669.495139488004</v>
      </c>
      <c r="I31" s="44">
        <f t="shared" si="2"/>
        <v>53281.07766273601</v>
      </c>
      <c r="J31" s="44">
        <f t="shared" si="3"/>
        <v>60892.66018598401</v>
      </c>
    </row>
    <row r="32" spans="1:10" ht="15">
      <c r="A32" s="29" t="s">
        <v>13</v>
      </c>
      <c r="B32" s="43">
        <f>4922.74+1000</f>
        <v>5922.74</v>
      </c>
      <c r="C32" s="33">
        <v>8462.65</v>
      </c>
      <c r="D32" s="33">
        <f>1.24*C32</f>
        <v>10493.686</v>
      </c>
      <c r="E32" s="29">
        <f>1.2*C32</f>
        <v>10155.179999999998</v>
      </c>
      <c r="F32" s="29">
        <f>1.24*C32</f>
        <v>10493.686</v>
      </c>
      <c r="G32" s="45">
        <f>+'ANEXO I'!B22</f>
        <v>25442.471892024005</v>
      </c>
      <c r="H32" s="44">
        <f t="shared" si="1"/>
        <v>30530.966270428806</v>
      </c>
      <c r="I32" s="44">
        <f t="shared" si="2"/>
        <v>35619.46064883361</v>
      </c>
      <c r="J32" s="44">
        <f t="shared" si="3"/>
        <v>40707.9550272384</v>
      </c>
    </row>
    <row r="33" spans="1:10" ht="15">
      <c r="A33" s="29" t="s">
        <v>96</v>
      </c>
      <c r="B33" s="43">
        <f aca="true" t="shared" si="18" ref="B33:G33">1.2*B32</f>
        <v>7107.288</v>
      </c>
      <c r="C33" s="33">
        <f t="shared" si="18"/>
        <v>10155.179999999998</v>
      </c>
      <c r="D33" s="33">
        <f t="shared" si="18"/>
        <v>12592.4232</v>
      </c>
      <c r="E33" s="33">
        <f t="shared" si="18"/>
        <v>12186.215999999999</v>
      </c>
      <c r="F33" s="33">
        <f t="shared" si="18"/>
        <v>12592.4232</v>
      </c>
      <c r="G33" s="44">
        <f t="shared" si="18"/>
        <v>30530.966270428806</v>
      </c>
      <c r="H33" s="44">
        <f t="shared" si="1"/>
        <v>36637.159524514565</v>
      </c>
      <c r="I33" s="44">
        <f t="shared" si="2"/>
        <v>42743.352778600325</v>
      </c>
      <c r="J33" s="44">
        <f t="shared" si="3"/>
        <v>48849.54603268609</v>
      </c>
    </row>
    <row r="34" spans="1:10" ht="15">
      <c r="A34" s="29" t="s">
        <v>97</v>
      </c>
      <c r="B34" s="43">
        <f aca="true" t="shared" si="19" ref="B34:G34">1.3*B32</f>
        <v>7699.562</v>
      </c>
      <c r="C34" s="33">
        <f t="shared" si="19"/>
        <v>11001.445</v>
      </c>
      <c r="D34" s="33">
        <f t="shared" si="19"/>
        <v>13641.7918</v>
      </c>
      <c r="E34" s="33">
        <f t="shared" si="19"/>
        <v>13201.733999999999</v>
      </c>
      <c r="F34" s="33">
        <f t="shared" si="19"/>
        <v>13641.7918</v>
      </c>
      <c r="G34" s="44">
        <f t="shared" si="19"/>
        <v>33075.21345963121</v>
      </c>
      <c r="H34" s="44">
        <f t="shared" si="1"/>
        <v>39690.25615155745</v>
      </c>
      <c r="I34" s="44">
        <f t="shared" si="2"/>
        <v>46305.298843483695</v>
      </c>
      <c r="J34" s="44">
        <f t="shared" si="3"/>
        <v>52920.341535409934</v>
      </c>
    </row>
    <row r="35" spans="1:10" ht="15">
      <c r="A35" s="29" t="s">
        <v>98</v>
      </c>
      <c r="B35" s="43">
        <f aca="true" t="shared" si="20" ref="B35:G35">1.5*B32</f>
        <v>8884.11</v>
      </c>
      <c r="C35" s="33">
        <f t="shared" si="20"/>
        <v>12693.974999999999</v>
      </c>
      <c r="D35" s="33">
        <f t="shared" si="20"/>
        <v>15740.528999999999</v>
      </c>
      <c r="E35" s="33">
        <f t="shared" si="20"/>
        <v>15232.769999999997</v>
      </c>
      <c r="F35" s="33">
        <f t="shared" si="20"/>
        <v>15740.528999999999</v>
      </c>
      <c r="G35" s="44">
        <f t="shared" si="20"/>
        <v>38163.707838036</v>
      </c>
      <c r="H35" s="44">
        <f t="shared" si="1"/>
        <v>45796.4494056432</v>
      </c>
      <c r="I35" s="44">
        <f t="shared" si="2"/>
        <v>53429.19097325041</v>
      </c>
      <c r="J35" s="44">
        <f t="shared" si="3"/>
        <v>61061.932540857604</v>
      </c>
    </row>
    <row r="36" spans="1:10" ht="15">
      <c r="A36" s="29" t="s">
        <v>16</v>
      </c>
      <c r="B36" s="43">
        <f>4959.97+1000</f>
        <v>5959.97</v>
      </c>
      <c r="C36" s="33">
        <v>8509.56</v>
      </c>
      <c r="D36" s="33">
        <f>1.24*C36</f>
        <v>10551.8544</v>
      </c>
      <c r="E36" s="29">
        <f>1.2*C36</f>
        <v>10211.472</v>
      </c>
      <c r="F36" s="29">
        <f>1.24*C36</f>
        <v>10551.8544</v>
      </c>
      <c r="G36" s="45">
        <f>+'ANEXO I'!B23</f>
        <v>25583.483696760006</v>
      </c>
      <c r="H36" s="44">
        <f t="shared" si="1"/>
        <v>30700.180436112005</v>
      </c>
      <c r="I36" s="44">
        <f t="shared" si="2"/>
        <v>35816.87717546401</v>
      </c>
      <c r="J36" s="44">
        <f t="shared" si="3"/>
        <v>40933.573914816014</v>
      </c>
    </row>
    <row r="37" spans="1:10" ht="15">
      <c r="A37" s="29" t="s">
        <v>99</v>
      </c>
      <c r="B37" s="43">
        <f aca="true" t="shared" si="21" ref="B37:G37">1.2*B36</f>
        <v>7151.964</v>
      </c>
      <c r="C37" s="33">
        <f t="shared" si="21"/>
        <v>10211.472</v>
      </c>
      <c r="D37" s="33">
        <f t="shared" si="21"/>
        <v>12662.22528</v>
      </c>
      <c r="E37" s="33">
        <f t="shared" si="21"/>
        <v>12253.766399999999</v>
      </c>
      <c r="F37" s="33">
        <f t="shared" si="21"/>
        <v>12662.22528</v>
      </c>
      <c r="G37" s="44">
        <f t="shared" si="21"/>
        <v>30700.180436112005</v>
      </c>
      <c r="H37" s="44">
        <f t="shared" si="1"/>
        <v>36840.216523334406</v>
      </c>
      <c r="I37" s="44">
        <f t="shared" si="2"/>
        <v>42980.2526105568</v>
      </c>
      <c r="J37" s="44">
        <f t="shared" si="3"/>
        <v>49120.28869777921</v>
      </c>
    </row>
    <row r="38" spans="1:10" ht="15">
      <c r="A38" s="29" t="s">
        <v>100</v>
      </c>
      <c r="B38" s="43">
        <f aca="true" t="shared" si="22" ref="B38:G38">1.3*B36</f>
        <v>7747.961</v>
      </c>
      <c r="C38" s="33">
        <f t="shared" si="22"/>
        <v>11062.428</v>
      </c>
      <c r="D38" s="33">
        <f t="shared" si="22"/>
        <v>13717.41072</v>
      </c>
      <c r="E38" s="33">
        <f t="shared" si="22"/>
        <v>13274.9136</v>
      </c>
      <c r="F38" s="33">
        <f t="shared" si="22"/>
        <v>13717.41072</v>
      </c>
      <c r="G38" s="44">
        <f t="shared" si="22"/>
        <v>33258.52880578801</v>
      </c>
      <c r="H38" s="44">
        <f t="shared" si="1"/>
        <v>39910.23456694561</v>
      </c>
      <c r="I38" s="44">
        <f t="shared" si="2"/>
        <v>46561.940328103214</v>
      </c>
      <c r="J38" s="44">
        <f t="shared" si="3"/>
        <v>53213.646089260816</v>
      </c>
    </row>
    <row r="39" spans="1:10" ht="15">
      <c r="A39" s="29" t="s">
        <v>101</v>
      </c>
      <c r="B39" s="43">
        <f aca="true" t="shared" si="23" ref="B39:G39">1.5*B36</f>
        <v>8939.955</v>
      </c>
      <c r="C39" s="33">
        <f t="shared" si="23"/>
        <v>12764.34</v>
      </c>
      <c r="D39" s="33">
        <f t="shared" si="23"/>
        <v>15827.7816</v>
      </c>
      <c r="E39" s="33">
        <f t="shared" si="23"/>
        <v>15317.207999999999</v>
      </c>
      <c r="F39" s="33">
        <f t="shared" si="23"/>
        <v>15827.7816</v>
      </c>
      <c r="G39" s="44">
        <f t="shared" si="23"/>
        <v>38375.22554514001</v>
      </c>
      <c r="H39" s="44">
        <f t="shared" si="1"/>
        <v>46050.27065416801</v>
      </c>
      <c r="I39" s="44">
        <f t="shared" si="2"/>
        <v>53725.31576319601</v>
      </c>
      <c r="J39" s="44">
        <f t="shared" si="3"/>
        <v>61400.36087222402</v>
      </c>
    </row>
    <row r="40" spans="1:10" ht="15">
      <c r="A40" s="29" t="s">
        <v>19</v>
      </c>
      <c r="B40" s="43">
        <f>5015.43+100</f>
        <v>5115.43</v>
      </c>
      <c r="C40" s="33">
        <v>8579.44</v>
      </c>
      <c r="D40" s="33">
        <f>1.24*C40</f>
        <v>10638.5056</v>
      </c>
      <c r="E40" s="29">
        <f>1.2*C40</f>
        <v>10295.328</v>
      </c>
      <c r="F40" s="29">
        <f>1.24*C40</f>
        <v>10638.5056</v>
      </c>
      <c r="G40" s="45">
        <f>+'ANEXO I'!B24</f>
        <v>25793.595165096</v>
      </c>
      <c r="H40" s="44">
        <f t="shared" si="1"/>
        <v>30952.3141981152</v>
      </c>
      <c r="I40" s="44">
        <f t="shared" si="2"/>
        <v>36111.0332311344</v>
      </c>
      <c r="J40" s="44">
        <f t="shared" si="3"/>
        <v>41269.7522641536</v>
      </c>
    </row>
    <row r="41" spans="1:10" ht="15">
      <c r="A41" s="29" t="s">
        <v>102</v>
      </c>
      <c r="B41" s="43">
        <f aca="true" t="shared" si="24" ref="B41:G41">1.2*B40</f>
        <v>6138.5160000000005</v>
      </c>
      <c r="C41" s="33">
        <f t="shared" si="24"/>
        <v>10295.328</v>
      </c>
      <c r="D41" s="33">
        <f t="shared" si="24"/>
        <v>12766.20672</v>
      </c>
      <c r="E41" s="33">
        <f t="shared" si="24"/>
        <v>12354.3936</v>
      </c>
      <c r="F41" s="33">
        <f t="shared" si="24"/>
        <v>12766.20672</v>
      </c>
      <c r="G41" s="44">
        <f t="shared" si="24"/>
        <v>30952.3141981152</v>
      </c>
      <c r="H41" s="44">
        <f t="shared" si="1"/>
        <v>37142.77703773824</v>
      </c>
      <c r="I41" s="44">
        <f t="shared" si="2"/>
        <v>43333.23987736127</v>
      </c>
      <c r="J41" s="44">
        <f t="shared" si="3"/>
        <v>49523.70271698432</v>
      </c>
    </row>
    <row r="42" spans="1:10" ht="15">
      <c r="A42" s="29" t="s">
        <v>103</v>
      </c>
      <c r="B42" s="43">
        <f aca="true" t="shared" si="25" ref="B42:G42">1.3*B40</f>
        <v>6650.059</v>
      </c>
      <c r="C42" s="33">
        <f t="shared" si="25"/>
        <v>11153.272</v>
      </c>
      <c r="D42" s="33">
        <f t="shared" si="25"/>
        <v>13830.05728</v>
      </c>
      <c r="E42" s="33">
        <f t="shared" si="25"/>
        <v>13383.9264</v>
      </c>
      <c r="F42" s="33">
        <f t="shared" si="25"/>
        <v>13830.05728</v>
      </c>
      <c r="G42" s="44">
        <f t="shared" si="25"/>
        <v>33531.673714624805</v>
      </c>
      <c r="H42" s="44">
        <f t="shared" si="1"/>
        <v>40238.00845754977</v>
      </c>
      <c r="I42" s="44">
        <f t="shared" si="2"/>
        <v>46944.34320047473</v>
      </c>
      <c r="J42" s="44">
        <f t="shared" si="3"/>
        <v>53650.677943399685</v>
      </c>
    </row>
    <row r="43" spans="1:10" ht="15">
      <c r="A43" s="29" t="s">
        <v>104</v>
      </c>
      <c r="B43" s="43">
        <f aca="true" t="shared" si="26" ref="B43:G43">1.5*B40</f>
        <v>7673.145</v>
      </c>
      <c r="C43" s="33">
        <f t="shared" si="26"/>
        <v>12869.16</v>
      </c>
      <c r="D43" s="33">
        <f t="shared" si="26"/>
        <v>15957.7584</v>
      </c>
      <c r="E43" s="33">
        <f t="shared" si="26"/>
        <v>15442.991999999998</v>
      </c>
      <c r="F43" s="33">
        <f t="shared" si="26"/>
        <v>15957.7584</v>
      </c>
      <c r="G43" s="44">
        <f t="shared" si="26"/>
        <v>38690.392747644</v>
      </c>
      <c r="H43" s="44">
        <f t="shared" si="1"/>
        <v>46428.4712971728</v>
      </c>
      <c r="I43" s="44">
        <f t="shared" si="2"/>
        <v>54166.5498467016</v>
      </c>
      <c r="J43" s="44">
        <f t="shared" si="3"/>
        <v>61904.6283962304</v>
      </c>
    </row>
    <row r="44" spans="1:10" ht="15">
      <c r="A44" s="29" t="s">
        <v>60</v>
      </c>
      <c r="B44" s="43">
        <f>5458.95+1000</f>
        <v>6458.95</v>
      </c>
      <c r="C44" s="33">
        <v>9138.28</v>
      </c>
      <c r="D44" s="33">
        <f>1.24*C44</f>
        <v>11331.467200000001</v>
      </c>
      <c r="E44" s="29">
        <f>1.2*C44</f>
        <v>10965.936</v>
      </c>
      <c r="F44" s="29">
        <f>1.24*C44</f>
        <v>11331.467200000001</v>
      </c>
      <c r="G44" s="45">
        <f>+'ANEXO I'!D32</f>
        <v>27473.711055912005</v>
      </c>
      <c r="H44" s="44">
        <f t="shared" si="1"/>
        <v>32968.45326709441</v>
      </c>
      <c r="I44" s="44">
        <f t="shared" si="2"/>
        <v>38463.19547827681</v>
      </c>
      <c r="J44" s="44">
        <f t="shared" si="3"/>
        <v>43957.937689459206</v>
      </c>
    </row>
    <row r="45" spans="1:10" ht="15">
      <c r="A45" s="29" t="s">
        <v>105</v>
      </c>
      <c r="B45" s="43">
        <f aca="true" t="shared" si="27" ref="B45:G45">1.2*B44</f>
        <v>7750.74</v>
      </c>
      <c r="C45" s="33">
        <f t="shared" si="27"/>
        <v>10965.936</v>
      </c>
      <c r="D45" s="33">
        <f t="shared" si="27"/>
        <v>13597.76064</v>
      </c>
      <c r="E45" s="33">
        <f t="shared" si="27"/>
        <v>13159.1232</v>
      </c>
      <c r="F45" s="33">
        <f t="shared" si="27"/>
        <v>13597.76064</v>
      </c>
      <c r="G45" s="44">
        <f t="shared" si="27"/>
        <v>32968.4532670944</v>
      </c>
      <c r="H45" s="44">
        <f t="shared" si="1"/>
        <v>39562.143920513285</v>
      </c>
      <c r="I45" s="44">
        <f t="shared" si="2"/>
        <v>46155.83457393216</v>
      </c>
      <c r="J45" s="44">
        <f t="shared" si="3"/>
        <v>52749.52522735104</v>
      </c>
    </row>
    <row r="46" spans="1:10" ht="15">
      <c r="A46" s="29" t="s">
        <v>106</v>
      </c>
      <c r="B46" s="43">
        <f aca="true" t="shared" si="28" ref="B46:G46">1.3*B44</f>
        <v>8396.635</v>
      </c>
      <c r="C46" s="33">
        <f t="shared" si="28"/>
        <v>11879.764000000001</v>
      </c>
      <c r="D46" s="33">
        <f t="shared" si="28"/>
        <v>14730.907360000001</v>
      </c>
      <c r="E46" s="33">
        <f t="shared" si="28"/>
        <v>14255.7168</v>
      </c>
      <c r="F46" s="33">
        <f t="shared" si="28"/>
        <v>14730.907360000001</v>
      </c>
      <c r="G46" s="44">
        <f t="shared" si="28"/>
        <v>35715.82437268561</v>
      </c>
      <c r="H46" s="44">
        <f t="shared" si="1"/>
        <v>42858.98924722274</v>
      </c>
      <c r="I46" s="44">
        <f t="shared" si="2"/>
        <v>50002.15412175985</v>
      </c>
      <c r="J46" s="44">
        <f t="shared" si="3"/>
        <v>57145.31899629698</v>
      </c>
    </row>
    <row r="47" spans="1:10" ht="15">
      <c r="A47" s="29" t="s">
        <v>107</v>
      </c>
      <c r="B47" s="43">
        <f aca="true" t="shared" si="29" ref="B47:G47">1.5*B44</f>
        <v>9688.425</v>
      </c>
      <c r="C47" s="33">
        <f t="shared" si="29"/>
        <v>13707.420000000002</v>
      </c>
      <c r="D47" s="33">
        <f t="shared" si="29"/>
        <v>16997.200800000002</v>
      </c>
      <c r="E47" s="33">
        <f t="shared" si="29"/>
        <v>16448.904</v>
      </c>
      <c r="F47" s="33">
        <f t="shared" si="29"/>
        <v>16997.200800000002</v>
      </c>
      <c r="G47" s="44">
        <f t="shared" si="29"/>
        <v>41210.56658386801</v>
      </c>
      <c r="H47" s="44">
        <f t="shared" si="1"/>
        <v>49452.679900641604</v>
      </c>
      <c r="I47" s="44">
        <f t="shared" si="2"/>
        <v>57694.79321741521</v>
      </c>
      <c r="J47" s="44">
        <f t="shared" si="3"/>
        <v>65936.90653418882</v>
      </c>
    </row>
    <row r="48" spans="1:10" ht="15">
      <c r="A48" s="29" t="s">
        <v>61</v>
      </c>
      <c r="B48" s="43">
        <f>5847.01+1000</f>
        <v>6847.01</v>
      </c>
      <c r="C48" s="33">
        <v>9627.23</v>
      </c>
      <c r="D48" s="33">
        <f>1.24*C48</f>
        <v>11937.7652</v>
      </c>
      <c r="E48" s="29">
        <f>1.2*C48</f>
        <v>11552.676</v>
      </c>
      <c r="F48" s="29">
        <f>1.24*C48</f>
        <v>11937.7652</v>
      </c>
      <c r="G48" s="45">
        <f>+'ANEXO I'!D33</f>
        <v>28943.71547839201</v>
      </c>
      <c r="H48" s="44">
        <f t="shared" si="1"/>
        <v>34732.458574070406</v>
      </c>
      <c r="I48" s="44">
        <f t="shared" si="2"/>
        <v>40521.20166974881</v>
      </c>
      <c r="J48" s="44">
        <f t="shared" si="3"/>
        <v>46309.944765427215</v>
      </c>
    </row>
    <row r="49" spans="1:10" ht="15">
      <c r="A49" s="29" t="s">
        <v>108</v>
      </c>
      <c r="B49" s="43">
        <f aca="true" t="shared" si="30" ref="B49:G49">1.2*B48</f>
        <v>8216.412</v>
      </c>
      <c r="C49" s="33">
        <f t="shared" si="30"/>
        <v>11552.676</v>
      </c>
      <c r="D49" s="33">
        <f t="shared" si="30"/>
        <v>14325.318239999999</v>
      </c>
      <c r="E49" s="33">
        <f t="shared" si="30"/>
        <v>13863.2112</v>
      </c>
      <c r="F49" s="33">
        <f t="shared" si="30"/>
        <v>14325.318239999999</v>
      </c>
      <c r="G49" s="44">
        <f t="shared" si="30"/>
        <v>34732.458574070406</v>
      </c>
      <c r="H49" s="44">
        <f t="shared" si="1"/>
        <v>41678.95028888449</v>
      </c>
      <c r="I49" s="44">
        <f t="shared" si="2"/>
        <v>48625.44200369857</v>
      </c>
      <c r="J49" s="44">
        <f t="shared" si="3"/>
        <v>55571.93371851265</v>
      </c>
    </row>
    <row r="50" spans="1:10" ht="15">
      <c r="A50" s="29" t="s">
        <v>109</v>
      </c>
      <c r="B50" s="43">
        <f aca="true" t="shared" si="31" ref="B50:G50">1.3*B48</f>
        <v>8901.113000000001</v>
      </c>
      <c r="C50" s="33">
        <f t="shared" si="31"/>
        <v>12515.399</v>
      </c>
      <c r="D50" s="33">
        <f t="shared" si="31"/>
        <v>15519.09476</v>
      </c>
      <c r="E50" s="33">
        <f t="shared" si="31"/>
        <v>15018.478799999999</v>
      </c>
      <c r="F50" s="33">
        <f t="shared" si="31"/>
        <v>15519.09476</v>
      </c>
      <c r="G50" s="44">
        <f t="shared" si="31"/>
        <v>37626.83012190961</v>
      </c>
      <c r="H50" s="44">
        <f t="shared" si="1"/>
        <v>45152.196146291535</v>
      </c>
      <c r="I50" s="44">
        <f t="shared" si="2"/>
        <v>52677.56217067346</v>
      </c>
      <c r="J50" s="44">
        <f t="shared" si="3"/>
        <v>60202.92819505537</v>
      </c>
    </row>
    <row r="51" spans="1:10" ht="15">
      <c r="A51" s="29" t="s">
        <v>110</v>
      </c>
      <c r="B51" s="43">
        <f aca="true" t="shared" si="32" ref="B51:G51">1.5*B48</f>
        <v>10270.515</v>
      </c>
      <c r="C51" s="33">
        <f t="shared" si="32"/>
        <v>14440.845</v>
      </c>
      <c r="D51" s="33">
        <f t="shared" si="32"/>
        <v>17906.6478</v>
      </c>
      <c r="E51" s="33">
        <f t="shared" si="32"/>
        <v>17329.014</v>
      </c>
      <c r="F51" s="33">
        <f t="shared" si="32"/>
        <v>17906.6478</v>
      </c>
      <c r="G51" s="44">
        <f t="shared" si="32"/>
        <v>43415.57321758801</v>
      </c>
      <c r="H51" s="44">
        <f t="shared" si="1"/>
        <v>52098.687861105616</v>
      </c>
      <c r="I51" s="44">
        <f t="shared" si="2"/>
        <v>60781.802504623214</v>
      </c>
      <c r="J51" s="44">
        <f t="shared" si="3"/>
        <v>69464.91714814081</v>
      </c>
    </row>
    <row r="52" spans="1:10" ht="15">
      <c r="A52" s="29" t="s">
        <v>62</v>
      </c>
      <c r="B52" s="43">
        <f>7232.97+1000</f>
        <v>8232.970000000001</v>
      </c>
      <c r="C52" s="33">
        <v>11373.54</v>
      </c>
      <c r="D52" s="33">
        <f>1.24*C52</f>
        <v>14103.189600000002</v>
      </c>
      <c r="E52" s="29">
        <f>1.2*C52</f>
        <v>13648.248000000001</v>
      </c>
      <c r="F52" s="29">
        <f>1.24*C52</f>
        <v>14103.189600000002</v>
      </c>
      <c r="G52" s="45">
        <f>+'ANEXO I'!D34</f>
        <v>34193.883673224016</v>
      </c>
      <c r="H52" s="44">
        <f t="shared" si="1"/>
        <v>41032.66040786882</v>
      </c>
      <c r="I52" s="44">
        <f t="shared" si="2"/>
        <v>47871.43714251362</v>
      </c>
      <c r="J52" s="44">
        <f t="shared" si="3"/>
        <v>54710.21387715843</v>
      </c>
    </row>
    <row r="53" spans="1:10" ht="15">
      <c r="A53" s="29" t="s">
        <v>111</v>
      </c>
      <c r="B53" s="43">
        <f aca="true" t="shared" si="33" ref="B53:G53">1.2*B52</f>
        <v>9879.564</v>
      </c>
      <c r="C53" s="33">
        <f t="shared" si="33"/>
        <v>13648.248000000001</v>
      </c>
      <c r="D53" s="33">
        <f t="shared" si="33"/>
        <v>16923.827520000003</v>
      </c>
      <c r="E53" s="33">
        <f t="shared" si="33"/>
        <v>16377.8976</v>
      </c>
      <c r="F53" s="33">
        <f t="shared" si="33"/>
        <v>16923.827520000003</v>
      </c>
      <c r="G53" s="44">
        <f t="shared" si="33"/>
        <v>41032.66040786882</v>
      </c>
      <c r="H53" s="44">
        <f t="shared" si="1"/>
        <v>49239.192489442576</v>
      </c>
      <c r="I53" s="44">
        <f t="shared" si="2"/>
        <v>57445.72457101635</v>
      </c>
      <c r="J53" s="44">
        <f t="shared" si="3"/>
        <v>65652.2566525901</v>
      </c>
    </row>
    <row r="54" spans="1:10" ht="15">
      <c r="A54" s="29" t="s">
        <v>112</v>
      </c>
      <c r="B54" s="43">
        <f aca="true" t="shared" si="34" ref="B54:G54">1.3*B52</f>
        <v>10702.861000000003</v>
      </c>
      <c r="C54" s="33">
        <f t="shared" si="34"/>
        <v>14785.602</v>
      </c>
      <c r="D54" s="33">
        <f t="shared" si="34"/>
        <v>18334.146480000003</v>
      </c>
      <c r="E54" s="33">
        <f t="shared" si="34"/>
        <v>17742.722400000002</v>
      </c>
      <c r="F54" s="33">
        <f t="shared" si="34"/>
        <v>18334.146480000003</v>
      </c>
      <c r="G54" s="44">
        <f t="shared" si="34"/>
        <v>44452.04877519122</v>
      </c>
      <c r="H54" s="44">
        <f t="shared" si="1"/>
        <v>53342.45853022947</v>
      </c>
      <c r="I54" s="44">
        <f t="shared" si="2"/>
        <v>62232.868285267716</v>
      </c>
      <c r="J54" s="44">
        <f t="shared" si="3"/>
        <v>71123.27804030596</v>
      </c>
    </row>
    <row r="55" spans="1:10" ht="15">
      <c r="A55" s="29" t="s">
        <v>113</v>
      </c>
      <c r="B55" s="43">
        <f aca="true" t="shared" si="35" ref="B55:G55">1.5*B52</f>
        <v>12349.455000000002</v>
      </c>
      <c r="C55" s="33">
        <f t="shared" si="35"/>
        <v>17060.31</v>
      </c>
      <c r="D55" s="33">
        <f t="shared" si="35"/>
        <v>21154.784400000004</v>
      </c>
      <c r="E55" s="33">
        <f t="shared" si="35"/>
        <v>20472.372000000003</v>
      </c>
      <c r="F55" s="33">
        <f t="shared" si="35"/>
        <v>21154.784400000004</v>
      </c>
      <c r="G55" s="44">
        <f t="shared" si="35"/>
        <v>51290.825509836024</v>
      </c>
      <c r="H55" s="44">
        <f t="shared" si="1"/>
        <v>61548.99061180323</v>
      </c>
      <c r="I55" s="44">
        <f t="shared" si="2"/>
        <v>71807.15571377044</v>
      </c>
      <c r="J55" s="44">
        <f t="shared" si="3"/>
        <v>82065.32081573764</v>
      </c>
    </row>
  </sheetData>
  <sheetProtection/>
  <mergeCells count="2">
    <mergeCell ref="A9:C9"/>
    <mergeCell ref="G10:J10"/>
  </mergeCells>
  <printOptions/>
  <pageMargins left="1.2992125984251968" right="0.5118110236220472" top="2.1653543307086616" bottom="0.3543307086614173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L31"/>
  <sheetViews>
    <sheetView zoomScaleSheetLayoutView="100" workbookViewId="0" topLeftCell="A10">
      <selection activeCell="A9" sqref="A9:L30"/>
    </sheetView>
  </sheetViews>
  <sheetFormatPr defaultColWidth="11.00390625" defaultRowHeight="15"/>
  <cols>
    <col min="1" max="1" width="18.57421875" style="0" customWidth="1"/>
    <col min="2" max="3" width="11.00390625" style="0" hidden="1" customWidth="1"/>
    <col min="4" max="4" width="11.00390625" style="27" hidden="1" customWidth="1"/>
    <col min="5" max="7" width="11.00390625" style="0" hidden="1" customWidth="1"/>
    <col min="8" max="8" width="12.00390625" style="0" hidden="1" customWidth="1"/>
    <col min="9" max="10" width="11.00390625" style="0" hidden="1" customWidth="1"/>
    <col min="11" max="11" width="0.2890625" style="0" customWidth="1"/>
  </cols>
  <sheetData>
    <row r="7" ht="15.75" customHeight="1"/>
    <row r="9" spans="1:8" ht="15">
      <c r="A9" s="80" t="s">
        <v>114</v>
      </c>
      <c r="B9" s="81"/>
      <c r="C9" s="81"/>
      <c r="D9" s="81"/>
      <c r="E9" s="81"/>
      <c r="F9" s="81"/>
      <c r="G9" s="81"/>
      <c r="H9" s="81"/>
    </row>
    <row r="10" spans="1:8" ht="15">
      <c r="A10" s="82" t="s">
        <v>115</v>
      </c>
      <c r="B10" s="83"/>
      <c r="C10" s="83"/>
      <c r="D10" s="83"/>
      <c r="E10" s="83"/>
      <c r="F10" s="83"/>
      <c r="G10" s="83"/>
      <c r="H10" s="83"/>
    </row>
    <row r="11" spans="1:12" ht="15">
      <c r="A11" s="28"/>
      <c r="B11" s="28"/>
      <c r="C11" s="29"/>
      <c r="D11" s="28" t="s">
        <v>79</v>
      </c>
      <c r="E11" s="28" t="s">
        <v>116</v>
      </c>
      <c r="F11" s="28" t="s">
        <v>80</v>
      </c>
      <c r="G11" s="30" t="s">
        <v>4</v>
      </c>
      <c r="H11" s="31">
        <v>44044</v>
      </c>
      <c r="K11" s="31">
        <v>44378</v>
      </c>
      <c r="L11" s="34">
        <v>44562</v>
      </c>
    </row>
    <row r="12" spans="1:12" ht="15">
      <c r="A12" s="29" t="s">
        <v>117</v>
      </c>
      <c r="B12" s="29">
        <f>1.3*C12</f>
        <v>4189.51</v>
      </c>
      <c r="C12" s="29">
        <v>3222.7</v>
      </c>
      <c r="D12" s="32">
        <v>5964</v>
      </c>
      <c r="E12" s="29">
        <f>1.12*D12</f>
        <v>6679.68</v>
      </c>
      <c r="F12" s="29">
        <f>1.2*D12</f>
        <v>7156.8</v>
      </c>
      <c r="G12" s="29">
        <f>1.24*D12</f>
        <v>7395.36</v>
      </c>
      <c r="H12" s="29">
        <f>+J12</f>
        <v>11226.160000000002</v>
      </c>
      <c r="I12">
        <v>10205.6</v>
      </c>
      <c r="J12">
        <f>+I12*1.1</f>
        <v>11226.160000000002</v>
      </c>
      <c r="K12" s="33">
        <f>(+H12*1.1)*1.2</f>
        <v>14818.531200000003</v>
      </c>
      <c r="L12" s="35">
        <f aca="true" t="shared" si="0" ref="L12:L30">+K12*1.1*1.1</f>
        <v>17930.422752000006</v>
      </c>
    </row>
    <row r="13" spans="1:12" ht="15">
      <c r="A13" s="29" t="s">
        <v>118</v>
      </c>
      <c r="B13" s="29">
        <f>1.3*C13</f>
        <v>7392.294000000001</v>
      </c>
      <c r="C13" s="29">
        <v>5686.38</v>
      </c>
      <c r="D13" s="32">
        <v>11574.29</v>
      </c>
      <c r="E13" s="33">
        <f aca="true" t="shared" si="1" ref="E13:E30">1.12*D13</f>
        <v>12963.204800000001</v>
      </c>
      <c r="F13" s="33">
        <f aca="true" t="shared" si="2" ref="F13:F30">1.2*D13</f>
        <v>13889.148000000001</v>
      </c>
      <c r="G13" s="33">
        <f>1.24*D13</f>
        <v>14352.119600000002</v>
      </c>
      <c r="H13" s="29">
        <f aca="true" t="shared" si="3" ref="H13:H30">+J13</f>
        <v>21786.523</v>
      </c>
      <c r="I13">
        <v>19805.93</v>
      </c>
      <c r="J13">
        <f aca="true" t="shared" si="4" ref="J13:J30">+I13*1.1</f>
        <v>21786.523</v>
      </c>
      <c r="K13" s="33">
        <f>(+H13*1.1)*1.2</f>
        <v>28758.21036</v>
      </c>
      <c r="L13" s="35">
        <f t="shared" si="0"/>
        <v>34797.434535600005</v>
      </c>
    </row>
    <row r="14" spans="1:12" ht="15">
      <c r="A14" s="29" t="s">
        <v>119</v>
      </c>
      <c r="B14" s="29">
        <f aca="true" t="shared" si="5" ref="B14:B29">1.3*C14</f>
        <v>7638.514</v>
      </c>
      <c r="C14" s="29">
        <v>5875.78</v>
      </c>
      <c r="D14" s="32">
        <v>11922</v>
      </c>
      <c r="E14" s="33">
        <f t="shared" si="1"/>
        <v>13352.640000000001</v>
      </c>
      <c r="F14" s="33">
        <f t="shared" si="2"/>
        <v>14306.4</v>
      </c>
      <c r="G14" s="33">
        <f>1.24*D14</f>
        <v>14783.28</v>
      </c>
      <c r="H14" s="29">
        <f t="shared" si="3"/>
        <v>22441.023</v>
      </c>
      <c r="I14">
        <v>20400.93</v>
      </c>
      <c r="J14">
        <f t="shared" si="4"/>
        <v>22441.023</v>
      </c>
      <c r="K14" s="33">
        <f aca="true" t="shared" si="6" ref="K14:K30">(+H14*1.1)*1.2</f>
        <v>29622.150360000003</v>
      </c>
      <c r="L14" s="35">
        <f t="shared" si="0"/>
        <v>35842.80193560001</v>
      </c>
    </row>
    <row r="15" spans="1:12" ht="15">
      <c r="A15" s="29" t="s">
        <v>120</v>
      </c>
      <c r="B15" s="29">
        <f t="shared" si="5"/>
        <v>8623.407000000001</v>
      </c>
      <c r="C15" s="29">
        <v>6633.39</v>
      </c>
      <c r="D15" s="32">
        <v>13352</v>
      </c>
      <c r="E15" s="33">
        <f t="shared" si="1"/>
        <v>14954.240000000002</v>
      </c>
      <c r="F15" s="33">
        <f t="shared" si="2"/>
        <v>16022.4</v>
      </c>
      <c r="G15" s="33">
        <f aca="true" t="shared" si="7" ref="G15:G30">1.24*D15</f>
        <v>16556.48</v>
      </c>
      <c r="H15" s="29">
        <f t="shared" si="3"/>
        <v>25132.734</v>
      </c>
      <c r="I15">
        <v>22847.94</v>
      </c>
      <c r="J15">
        <f t="shared" si="4"/>
        <v>25132.734</v>
      </c>
      <c r="K15" s="33">
        <f t="shared" si="6"/>
        <v>33175.20888</v>
      </c>
      <c r="L15" s="35">
        <f t="shared" si="0"/>
        <v>40142.00274480001</v>
      </c>
    </row>
    <row r="16" spans="1:12" ht="15">
      <c r="A16" s="29" t="s">
        <v>121</v>
      </c>
      <c r="B16" s="29">
        <f t="shared" si="5"/>
        <v>8960.354</v>
      </c>
      <c r="C16" s="29">
        <v>6892.58</v>
      </c>
      <c r="D16" s="32">
        <f>1.04*D15</f>
        <v>13886.08</v>
      </c>
      <c r="E16" s="33">
        <f t="shared" si="1"/>
        <v>15552.4096</v>
      </c>
      <c r="F16" s="33">
        <f t="shared" si="2"/>
        <v>16663.296</v>
      </c>
      <c r="G16" s="33">
        <f t="shared" si="7"/>
        <v>17218.7392</v>
      </c>
      <c r="H16" s="29">
        <f t="shared" si="3"/>
        <v>26138.046000000002</v>
      </c>
      <c r="I16">
        <v>23761.86</v>
      </c>
      <c r="J16">
        <f t="shared" si="4"/>
        <v>26138.046000000002</v>
      </c>
      <c r="K16" s="33">
        <f t="shared" si="6"/>
        <v>34502.220720000005</v>
      </c>
      <c r="L16" s="35">
        <f t="shared" si="0"/>
        <v>41747.68707120002</v>
      </c>
    </row>
    <row r="17" spans="1:12" ht="15">
      <c r="A17" s="29" t="s">
        <v>122</v>
      </c>
      <c r="B17" s="29">
        <f t="shared" si="5"/>
        <v>9362.08</v>
      </c>
      <c r="C17" s="29">
        <v>7201.6</v>
      </c>
      <c r="D17" s="32">
        <v>14056.22</v>
      </c>
      <c r="E17" s="33">
        <f t="shared" si="1"/>
        <v>15742.966400000001</v>
      </c>
      <c r="F17" s="33">
        <f t="shared" si="2"/>
        <v>16867.464</v>
      </c>
      <c r="G17" s="33">
        <f t="shared" si="7"/>
        <v>17429.712799999998</v>
      </c>
      <c r="H17" s="29">
        <f t="shared" si="3"/>
        <v>26458.300000000003</v>
      </c>
      <c r="I17">
        <v>24053</v>
      </c>
      <c r="J17">
        <f t="shared" si="4"/>
        <v>26458.300000000003</v>
      </c>
      <c r="K17" s="33">
        <f t="shared" si="6"/>
        <v>34924.956000000006</v>
      </c>
      <c r="L17" s="35">
        <f t="shared" si="0"/>
        <v>42259.19676000001</v>
      </c>
    </row>
    <row r="18" spans="1:12" ht="15">
      <c r="A18" s="29" t="s">
        <v>123</v>
      </c>
      <c r="B18" s="29">
        <f t="shared" si="5"/>
        <v>11087.505000000001</v>
      </c>
      <c r="C18" s="29">
        <v>8528.85</v>
      </c>
      <c r="D18" s="32">
        <v>16230.25</v>
      </c>
      <c r="E18" s="33">
        <f t="shared" si="1"/>
        <v>18177.88</v>
      </c>
      <c r="F18" s="33">
        <f t="shared" si="2"/>
        <v>19476.3</v>
      </c>
      <c r="G18" s="33">
        <f t="shared" si="7"/>
        <v>20125.51</v>
      </c>
      <c r="H18" s="29">
        <f t="shared" si="3"/>
        <v>30550.520000000004</v>
      </c>
      <c r="I18">
        <v>27773.2</v>
      </c>
      <c r="J18">
        <f t="shared" si="4"/>
        <v>30550.520000000004</v>
      </c>
      <c r="K18" s="33">
        <f t="shared" si="6"/>
        <v>40326.686400000006</v>
      </c>
      <c r="L18" s="35">
        <f t="shared" si="0"/>
        <v>48795.29054400002</v>
      </c>
    </row>
    <row r="19" spans="1:12" ht="15">
      <c r="A19" s="29" t="s">
        <v>124</v>
      </c>
      <c r="B19" s="29">
        <f t="shared" si="5"/>
        <v>11335.584</v>
      </c>
      <c r="C19" s="29">
        <v>8719.68</v>
      </c>
      <c r="D19" s="32">
        <v>16543.16</v>
      </c>
      <c r="E19" s="33">
        <f t="shared" si="1"/>
        <v>18528.339200000002</v>
      </c>
      <c r="F19" s="33">
        <f t="shared" si="2"/>
        <v>19851.791999999998</v>
      </c>
      <c r="G19" s="33">
        <f t="shared" si="7"/>
        <v>20513.5184</v>
      </c>
      <c r="H19" s="29">
        <f t="shared" si="3"/>
        <v>31139.526</v>
      </c>
      <c r="I19">
        <v>28308.66</v>
      </c>
      <c r="J19">
        <f t="shared" si="4"/>
        <v>31139.526</v>
      </c>
      <c r="K19" s="33">
        <f t="shared" si="6"/>
        <v>41104.17432</v>
      </c>
      <c r="L19" s="35">
        <f t="shared" si="0"/>
        <v>49736.050927200005</v>
      </c>
    </row>
    <row r="20" spans="1:12" ht="15">
      <c r="A20" s="29" t="s">
        <v>125</v>
      </c>
      <c r="B20" s="29">
        <f t="shared" si="5"/>
        <v>12320.477</v>
      </c>
      <c r="C20" s="29">
        <v>9477.29</v>
      </c>
      <c r="D20" s="32">
        <v>17783.79</v>
      </c>
      <c r="E20" s="33">
        <f t="shared" si="1"/>
        <v>19917.844800000003</v>
      </c>
      <c r="F20" s="33">
        <f t="shared" si="2"/>
        <v>21340.548</v>
      </c>
      <c r="G20" s="33">
        <f t="shared" si="7"/>
        <v>22051.8996</v>
      </c>
      <c r="H20" s="29">
        <f t="shared" si="3"/>
        <v>33474.782</v>
      </c>
      <c r="I20">
        <v>30431.62</v>
      </c>
      <c r="J20">
        <f t="shared" si="4"/>
        <v>33474.782</v>
      </c>
      <c r="K20" s="33">
        <f t="shared" si="6"/>
        <v>44186.71224</v>
      </c>
      <c r="L20" s="35">
        <f t="shared" si="0"/>
        <v>53465.92181040001</v>
      </c>
    </row>
    <row r="21" spans="1:12" ht="15">
      <c r="A21" s="29" t="s">
        <v>126</v>
      </c>
      <c r="B21" s="29">
        <f t="shared" si="5"/>
        <v>13551.603</v>
      </c>
      <c r="C21" s="29">
        <v>10424.31</v>
      </c>
      <c r="D21" s="32">
        <v>19335.02</v>
      </c>
      <c r="E21" s="33">
        <f t="shared" si="1"/>
        <v>21655.222400000002</v>
      </c>
      <c r="F21" s="33">
        <f t="shared" si="2"/>
        <v>23202.024</v>
      </c>
      <c r="G21" s="33">
        <f t="shared" si="7"/>
        <v>23975.4248</v>
      </c>
      <c r="H21" s="29">
        <f t="shared" si="3"/>
        <v>36394.699</v>
      </c>
      <c r="I21">
        <v>33086.09</v>
      </c>
      <c r="J21">
        <f t="shared" si="4"/>
        <v>36394.699</v>
      </c>
      <c r="K21" s="33">
        <f t="shared" si="6"/>
        <v>48041.002680000005</v>
      </c>
      <c r="L21" s="35">
        <f t="shared" si="0"/>
        <v>58129.61324280001</v>
      </c>
    </row>
    <row r="22" spans="1:12" ht="15">
      <c r="A22" s="29" t="s">
        <v>127</v>
      </c>
      <c r="B22" s="29">
        <f t="shared" si="5"/>
        <v>15037.893000000002</v>
      </c>
      <c r="C22" s="29">
        <v>11567.61</v>
      </c>
      <c r="D22" s="32">
        <f>1.11*D21</f>
        <v>21461.8722</v>
      </c>
      <c r="E22" s="33">
        <f t="shared" si="1"/>
        <v>24037.296864000004</v>
      </c>
      <c r="F22" s="33">
        <f t="shared" si="2"/>
        <v>25754.24664</v>
      </c>
      <c r="G22" s="33">
        <f t="shared" si="7"/>
        <v>26612.721528000002</v>
      </c>
      <c r="H22" s="29">
        <f t="shared" si="3"/>
        <v>40398.116</v>
      </c>
      <c r="I22">
        <v>36725.56</v>
      </c>
      <c r="J22">
        <f t="shared" si="4"/>
        <v>40398.116</v>
      </c>
      <c r="K22" s="33">
        <f t="shared" si="6"/>
        <v>53325.51312</v>
      </c>
      <c r="L22" s="35">
        <f t="shared" si="0"/>
        <v>64523.87087520001</v>
      </c>
    </row>
    <row r="23" spans="1:12" ht="15">
      <c r="A23" s="29" t="s">
        <v>128</v>
      </c>
      <c r="B23" s="29">
        <f t="shared" si="5"/>
        <v>15412.631000000001</v>
      </c>
      <c r="C23" s="29">
        <v>11855.87</v>
      </c>
      <c r="D23" s="32">
        <v>21679.91</v>
      </c>
      <c r="E23" s="33">
        <f t="shared" si="1"/>
        <v>24281.499200000002</v>
      </c>
      <c r="F23" s="33">
        <f t="shared" si="2"/>
        <v>26015.892</v>
      </c>
      <c r="G23" s="33">
        <f t="shared" si="7"/>
        <v>26883.0884</v>
      </c>
      <c r="H23" s="29">
        <f t="shared" si="3"/>
        <v>40808.526000000005</v>
      </c>
      <c r="I23">
        <v>37098.66</v>
      </c>
      <c r="J23">
        <f t="shared" si="4"/>
        <v>40808.526000000005</v>
      </c>
      <c r="K23" s="33">
        <f t="shared" si="6"/>
        <v>53867.254320000015</v>
      </c>
      <c r="L23" s="35">
        <f t="shared" si="0"/>
        <v>65179.37772720003</v>
      </c>
    </row>
    <row r="24" spans="1:12" ht="15">
      <c r="A24" s="29" t="s">
        <v>129</v>
      </c>
      <c r="B24" s="29">
        <v>16600</v>
      </c>
      <c r="C24" s="29"/>
      <c r="D24" s="32">
        <f>1.18*D21</f>
        <v>22815.3236</v>
      </c>
      <c r="E24" s="33">
        <f t="shared" si="1"/>
        <v>25553.162432</v>
      </c>
      <c r="F24" s="33">
        <f t="shared" si="2"/>
        <v>27378.38832</v>
      </c>
      <c r="G24" s="33">
        <f t="shared" si="7"/>
        <v>28291.001264</v>
      </c>
      <c r="H24" s="29">
        <f t="shared" si="3"/>
        <v>42945.738000000005</v>
      </c>
      <c r="I24">
        <v>39041.58</v>
      </c>
      <c r="J24">
        <f t="shared" si="4"/>
        <v>42945.738000000005</v>
      </c>
      <c r="K24" s="33">
        <f t="shared" si="6"/>
        <v>56688.374160000014</v>
      </c>
      <c r="L24" s="35">
        <f t="shared" si="0"/>
        <v>68592.93273360003</v>
      </c>
    </row>
    <row r="25" spans="1:12" ht="15">
      <c r="A25" s="29" t="s">
        <v>130</v>
      </c>
      <c r="B25" s="29">
        <f t="shared" si="5"/>
        <v>17024.670000000002</v>
      </c>
      <c r="C25" s="29">
        <v>13095.9</v>
      </c>
      <c r="D25" s="32">
        <v>23711.08</v>
      </c>
      <c r="E25" s="33">
        <f t="shared" si="1"/>
        <v>26556.409600000003</v>
      </c>
      <c r="F25" s="33">
        <f t="shared" si="2"/>
        <v>28453.296000000002</v>
      </c>
      <c r="G25" s="33">
        <f t="shared" si="7"/>
        <v>29401.739200000004</v>
      </c>
      <c r="H25" s="29">
        <f t="shared" si="3"/>
        <v>44631.840000000004</v>
      </c>
      <c r="I25">
        <v>40574.4</v>
      </c>
      <c r="J25">
        <f t="shared" si="4"/>
        <v>44631.840000000004</v>
      </c>
      <c r="K25" s="33">
        <f t="shared" si="6"/>
        <v>58914.02880000001</v>
      </c>
      <c r="L25" s="35">
        <f t="shared" si="0"/>
        <v>71285.97484800003</v>
      </c>
    </row>
    <row r="26" spans="1:12" ht="15">
      <c r="A26" s="29" t="s">
        <v>131</v>
      </c>
      <c r="B26" s="29">
        <f t="shared" si="5"/>
        <v>17798.508</v>
      </c>
      <c r="C26" s="29">
        <v>13691.16</v>
      </c>
      <c r="D26" s="32">
        <v>24686.11</v>
      </c>
      <c r="E26" s="33">
        <f t="shared" si="1"/>
        <v>27648.4432</v>
      </c>
      <c r="F26" s="33">
        <f t="shared" si="2"/>
        <v>29623.332</v>
      </c>
      <c r="G26" s="33">
        <f t="shared" si="7"/>
        <v>30610.7764</v>
      </c>
      <c r="H26" s="29">
        <f t="shared" si="3"/>
        <v>46467.15700000001</v>
      </c>
      <c r="I26">
        <v>42242.87</v>
      </c>
      <c r="J26">
        <f t="shared" si="4"/>
        <v>46467.15700000001</v>
      </c>
      <c r="K26" s="33">
        <f t="shared" si="6"/>
        <v>61336.64724000001</v>
      </c>
      <c r="L26" s="35">
        <f t="shared" si="0"/>
        <v>74217.34316040004</v>
      </c>
    </row>
    <row r="27" spans="1:12" ht="15">
      <c r="A27" s="29" t="s">
        <v>132</v>
      </c>
      <c r="B27" s="29">
        <f t="shared" si="5"/>
        <v>18327.985</v>
      </c>
      <c r="C27" s="29">
        <v>14098.45</v>
      </c>
      <c r="D27" s="32">
        <v>25353.25</v>
      </c>
      <c r="E27" s="33">
        <f t="shared" si="1"/>
        <v>28395.640000000003</v>
      </c>
      <c r="F27" s="33">
        <f t="shared" si="2"/>
        <v>30423.899999999998</v>
      </c>
      <c r="G27" s="33">
        <f t="shared" si="7"/>
        <v>31438.03</v>
      </c>
      <c r="H27" s="29">
        <f t="shared" si="3"/>
        <v>47722.92800000001</v>
      </c>
      <c r="I27">
        <v>43384.48</v>
      </c>
      <c r="J27">
        <f t="shared" si="4"/>
        <v>47722.92800000001</v>
      </c>
      <c r="K27" s="33">
        <f t="shared" si="6"/>
        <v>62994.26496000001</v>
      </c>
      <c r="L27" s="35">
        <f t="shared" si="0"/>
        <v>76223.06060160002</v>
      </c>
    </row>
    <row r="28" spans="1:12" ht="15">
      <c r="A28" s="29" t="s">
        <v>133</v>
      </c>
      <c r="B28" s="29">
        <f t="shared" si="5"/>
        <v>19712.771</v>
      </c>
      <c r="C28" s="29">
        <v>15163.67</v>
      </c>
      <c r="D28" s="32">
        <v>27098.09</v>
      </c>
      <c r="E28" s="33">
        <f t="shared" si="1"/>
        <v>30349.860800000002</v>
      </c>
      <c r="F28" s="33">
        <f t="shared" si="2"/>
        <v>32517.708</v>
      </c>
      <c r="G28" s="33">
        <f t="shared" si="7"/>
        <v>33601.6316</v>
      </c>
      <c r="H28" s="29">
        <f t="shared" si="3"/>
        <v>51007.275</v>
      </c>
      <c r="I28">
        <v>46370.25</v>
      </c>
      <c r="J28">
        <f t="shared" si="4"/>
        <v>51007.275</v>
      </c>
      <c r="K28" s="33">
        <f t="shared" si="6"/>
        <v>67329.603</v>
      </c>
      <c r="L28" s="35">
        <f t="shared" si="0"/>
        <v>81468.81963000001</v>
      </c>
    </row>
    <row r="29" spans="1:12" ht="15">
      <c r="A29" s="29" t="s">
        <v>134</v>
      </c>
      <c r="B29" s="29">
        <f t="shared" si="5"/>
        <v>20160.79</v>
      </c>
      <c r="C29" s="29">
        <v>15508.3</v>
      </c>
      <c r="D29" s="32">
        <v>27942</v>
      </c>
      <c r="E29" s="33">
        <f t="shared" si="1"/>
        <v>31295.040000000005</v>
      </c>
      <c r="F29" s="33">
        <f t="shared" si="2"/>
        <v>33530.4</v>
      </c>
      <c r="G29" s="33">
        <f t="shared" si="7"/>
        <v>34648.08</v>
      </c>
      <c r="H29" s="29">
        <f t="shared" si="3"/>
        <v>52595.785</v>
      </c>
      <c r="I29">
        <v>47814.35</v>
      </c>
      <c r="J29">
        <f t="shared" si="4"/>
        <v>52595.785</v>
      </c>
      <c r="K29" s="33">
        <f t="shared" si="6"/>
        <v>69426.43620000001</v>
      </c>
      <c r="L29" s="35">
        <f t="shared" si="0"/>
        <v>84005.98780200002</v>
      </c>
    </row>
    <row r="30" spans="1:12" ht="15">
      <c r="A30" s="29" t="s">
        <v>135</v>
      </c>
      <c r="B30" s="29">
        <f>1.2*C30</f>
        <v>22369.548</v>
      </c>
      <c r="C30" s="29">
        <v>18641.29</v>
      </c>
      <c r="D30" s="32">
        <v>31004</v>
      </c>
      <c r="E30" s="33">
        <f t="shared" si="1"/>
        <v>34724.48</v>
      </c>
      <c r="F30" s="33">
        <f t="shared" si="2"/>
        <v>37204.799999999996</v>
      </c>
      <c r="G30" s="33">
        <f t="shared" si="7"/>
        <v>38444.96</v>
      </c>
      <c r="H30" s="29">
        <f t="shared" si="3"/>
        <v>58359.444</v>
      </c>
      <c r="I30">
        <v>53054.04</v>
      </c>
      <c r="J30">
        <f t="shared" si="4"/>
        <v>58359.444</v>
      </c>
      <c r="K30" s="33">
        <f t="shared" si="6"/>
        <v>77034.46608000001</v>
      </c>
      <c r="L30" s="35">
        <f t="shared" si="0"/>
        <v>93211.70395680003</v>
      </c>
    </row>
    <row r="31" spans="9:10" ht="15">
      <c r="I31">
        <f>SUM(I12:I30)</f>
        <v>626981.0200000001</v>
      </c>
      <c r="J31">
        <f>SUM(J12:J30)</f>
        <v>689679.1220000002</v>
      </c>
    </row>
  </sheetData>
  <sheetProtection/>
  <mergeCells count="2">
    <mergeCell ref="A9:H9"/>
    <mergeCell ref="A10:H10"/>
  </mergeCells>
  <printOptions/>
  <pageMargins left="1.2992125984251968" right="0.5118110236220472" top="2.1653543307086616" bottom="0.354330708661417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42"/>
  <sheetViews>
    <sheetView zoomScaleSheetLayoutView="100" workbookViewId="0" topLeftCell="A25">
      <selection activeCell="A7" sqref="A7:H42"/>
    </sheetView>
  </sheetViews>
  <sheetFormatPr defaultColWidth="11.421875" defaultRowHeight="15"/>
  <cols>
    <col min="1" max="1" width="23.57421875" style="2" customWidth="1"/>
    <col min="2" max="2" width="11.8515625" style="2" customWidth="1"/>
    <col min="3" max="3" width="14.7109375" style="2" customWidth="1"/>
    <col min="4" max="6" width="14.8515625" style="2" customWidth="1"/>
    <col min="7" max="7" width="16.00390625" style="2" bestFit="1" customWidth="1"/>
    <col min="8" max="8" width="14.7109375" style="2" customWidth="1"/>
    <col min="9" max="9" width="11.421875" style="2" bestFit="1" customWidth="1"/>
    <col min="10" max="16384" width="11.421875" style="2" customWidth="1"/>
  </cols>
  <sheetData>
    <row r="7" spans="1:8" ht="17.25">
      <c r="A7" s="84" t="s">
        <v>136</v>
      </c>
      <c r="B7" s="85"/>
      <c r="C7" s="85"/>
      <c r="D7" s="85"/>
      <c r="E7" s="85"/>
      <c r="F7" s="85"/>
      <c r="G7" s="85"/>
      <c r="H7" s="86"/>
    </row>
    <row r="8" spans="1:8" ht="17.25">
      <c r="A8" s="87">
        <v>44562</v>
      </c>
      <c r="B8" s="88"/>
      <c r="C8" s="88"/>
      <c r="D8" s="88"/>
      <c r="E8" s="88"/>
      <c r="F8" s="88"/>
      <c r="G8" s="88"/>
      <c r="H8" s="89"/>
    </row>
    <row r="9" spans="1:8" ht="17.25">
      <c r="A9" s="3"/>
      <c r="B9" s="4"/>
      <c r="C9" s="4"/>
      <c r="D9" s="4"/>
      <c r="E9" s="4"/>
      <c r="F9" s="4"/>
      <c r="G9" s="4"/>
      <c r="H9" s="5"/>
    </row>
    <row r="10" spans="1:8" s="1" customFormat="1" ht="17.25">
      <c r="A10" s="6"/>
      <c r="B10" s="7" t="s">
        <v>137</v>
      </c>
      <c r="C10" s="7" t="s">
        <v>138</v>
      </c>
      <c r="D10" s="7">
        <v>12</v>
      </c>
      <c r="E10" s="7">
        <v>18</v>
      </c>
      <c r="F10" s="7">
        <v>24</v>
      </c>
      <c r="G10" s="7">
        <v>36</v>
      </c>
      <c r="H10" s="8">
        <v>48</v>
      </c>
    </row>
    <row r="11" spans="1:8" ht="17.25">
      <c r="A11" s="9" t="s">
        <v>139</v>
      </c>
      <c r="B11" s="10">
        <v>0.0593</v>
      </c>
      <c r="C11" s="11">
        <f>+B11*A19</f>
        <v>1492.3899294700002</v>
      </c>
      <c r="D11" s="11">
        <f>+C11*D10</f>
        <v>17908.67915364</v>
      </c>
      <c r="E11" s="11">
        <f>+C11*E10</f>
        <v>26863.018730460004</v>
      </c>
      <c r="F11" s="11">
        <f>+C11*F10</f>
        <v>35817.35830728</v>
      </c>
      <c r="G11" s="11">
        <f>+C11*G10</f>
        <v>53726.03746092001</v>
      </c>
      <c r="H11" s="12">
        <f>+C11*H10</f>
        <v>71634.71661456</v>
      </c>
    </row>
    <row r="12" spans="1:8" ht="17.25">
      <c r="A12" s="9" t="s">
        <v>140</v>
      </c>
      <c r="B12" s="10">
        <v>0.0628</v>
      </c>
      <c r="C12" s="11">
        <f>+B12*A19</f>
        <v>1580.4736521200002</v>
      </c>
      <c r="D12" s="11">
        <f>+C12*D10</f>
        <v>18965.683825440003</v>
      </c>
      <c r="E12" s="11">
        <f>+C12*E10</f>
        <v>28448.525738160002</v>
      </c>
      <c r="F12" s="11">
        <f>+C12*F10</f>
        <v>37931.367650880005</v>
      </c>
      <c r="G12" s="11">
        <f>+C12*G10</f>
        <v>56897.051476320004</v>
      </c>
      <c r="H12" s="12">
        <f>+C12*H10</f>
        <v>75862.73530176001</v>
      </c>
    </row>
    <row r="13" spans="1:8" ht="17.25">
      <c r="A13" s="9" t="s">
        <v>141</v>
      </c>
      <c r="B13" s="10">
        <v>0.067</v>
      </c>
      <c r="C13" s="11">
        <f>+B13*A19</f>
        <v>1686.1741193000005</v>
      </c>
      <c r="D13" s="11">
        <f>+C13*D10</f>
        <v>20234.089431600005</v>
      </c>
      <c r="E13" s="11">
        <f>+C13*E10</f>
        <v>30351.134147400007</v>
      </c>
      <c r="F13" s="11">
        <f>+C13*F10</f>
        <v>40468.17886320001</v>
      </c>
      <c r="G13" s="11">
        <f>+C13*G10</f>
        <v>60702.268294800015</v>
      </c>
      <c r="H13" s="12">
        <f>+C13*H10</f>
        <v>80936.35772640002</v>
      </c>
    </row>
    <row r="14" spans="1:8" ht="17.25">
      <c r="A14" s="9" t="s">
        <v>142</v>
      </c>
      <c r="B14" s="10">
        <v>0.07</v>
      </c>
      <c r="C14" s="11">
        <f>+B14*A19</f>
        <v>1761.6744530000005</v>
      </c>
      <c r="D14" s="11">
        <f>+C14*D10</f>
        <v>21140.093436000006</v>
      </c>
      <c r="E14" s="11">
        <f>+C14*E10</f>
        <v>31710.140154000008</v>
      </c>
      <c r="F14" s="11">
        <f>+C14*F10</f>
        <v>42280.18687200001</v>
      </c>
      <c r="G14" s="11">
        <f>+C14*G10</f>
        <v>63420.280308000016</v>
      </c>
      <c r="H14" s="12">
        <f>+C14*H10</f>
        <v>84560.37374400003</v>
      </c>
    </row>
    <row r="15" spans="1:8" ht="17.25">
      <c r="A15" s="9" t="s">
        <v>143</v>
      </c>
      <c r="B15" s="10">
        <v>0.0741</v>
      </c>
      <c r="C15" s="11">
        <f>+B15*A19</f>
        <v>1864.8582423900002</v>
      </c>
      <c r="D15" s="11">
        <f>+C15*D10</f>
        <v>22378.29890868</v>
      </c>
      <c r="E15" s="11">
        <f>+C15*E10</f>
        <v>33567.448363020005</v>
      </c>
      <c r="F15" s="11">
        <f>+C15*F10</f>
        <v>44756.59781736</v>
      </c>
      <c r="G15" s="11">
        <f>+C15*G10</f>
        <v>67134.89672604001</v>
      </c>
      <c r="H15" s="12">
        <f>+C15*H10</f>
        <v>89513.19563472</v>
      </c>
    </row>
    <row r="16" spans="1:8" ht="17.25">
      <c r="A16" s="3"/>
      <c r="B16" s="4"/>
      <c r="C16" s="4"/>
      <c r="D16" s="4"/>
      <c r="E16" s="4"/>
      <c r="F16" s="4"/>
      <c r="G16" s="4"/>
      <c r="H16" s="5"/>
    </row>
    <row r="17" spans="1:8" ht="17.25">
      <c r="A17" s="13" t="s">
        <v>144</v>
      </c>
      <c r="B17" s="14"/>
      <c r="C17" s="14"/>
      <c r="D17" s="15"/>
      <c r="E17" s="4"/>
      <c r="F17" s="4"/>
      <c r="G17" s="4"/>
      <c r="H17" s="5"/>
    </row>
    <row r="18" spans="1:8" ht="17.25">
      <c r="A18" s="3"/>
      <c r="B18" s="4"/>
      <c r="C18" s="4"/>
      <c r="D18" s="4"/>
      <c r="E18" s="4"/>
      <c r="F18" s="4"/>
      <c r="G18" s="4"/>
      <c r="H18" s="5"/>
    </row>
    <row r="19" spans="1:8" ht="17.25">
      <c r="A19" s="16">
        <f>+'ANEXO II'!G13</f>
        <v>25166.777900000005</v>
      </c>
      <c r="B19" s="4"/>
      <c r="C19" s="4"/>
      <c r="D19" s="4"/>
      <c r="E19" s="4"/>
      <c r="F19" s="4"/>
      <c r="G19" s="4"/>
      <c r="H19" s="5"/>
    </row>
    <row r="20" spans="1:8" ht="17.25">
      <c r="A20" s="3"/>
      <c r="B20" s="4"/>
      <c r="C20" s="4"/>
      <c r="D20" s="4"/>
      <c r="E20" s="4"/>
      <c r="F20" s="4"/>
      <c r="G20" s="4"/>
      <c r="H20" s="5"/>
    </row>
    <row r="21" spans="1:8" ht="17.25">
      <c r="A21" s="3" t="s">
        <v>145</v>
      </c>
      <c r="B21" s="4"/>
      <c r="C21" s="4"/>
      <c r="D21" s="17">
        <v>0.2</v>
      </c>
      <c r="E21" s="4"/>
      <c r="F21" s="4"/>
      <c r="G21" s="4"/>
      <c r="H21" s="5"/>
    </row>
    <row r="22" spans="1:8" ht="17.25">
      <c r="A22" s="3"/>
      <c r="B22" s="4"/>
      <c r="C22" s="4"/>
      <c r="D22" s="4"/>
      <c r="E22" s="4"/>
      <c r="F22" s="4"/>
      <c r="G22" s="4"/>
      <c r="H22" s="5"/>
    </row>
    <row r="23" spans="1:8" ht="17.25">
      <c r="A23" s="3" t="s">
        <v>146</v>
      </c>
      <c r="B23" s="4"/>
      <c r="C23" s="4"/>
      <c r="D23" s="18">
        <v>0.5</v>
      </c>
      <c r="E23" s="4"/>
      <c r="F23" s="4"/>
      <c r="G23" s="4"/>
      <c r="H23" s="5"/>
    </row>
    <row r="24" spans="1:8" ht="17.25">
      <c r="A24" s="3"/>
      <c r="B24" s="4"/>
      <c r="C24" s="4"/>
      <c r="D24" s="4"/>
      <c r="E24" s="4"/>
      <c r="F24" s="4"/>
      <c r="G24" s="4"/>
      <c r="H24" s="5"/>
    </row>
    <row r="25" spans="1:8" ht="17.25">
      <c r="A25" s="3" t="s">
        <v>147</v>
      </c>
      <c r="B25" s="4"/>
      <c r="C25" s="4"/>
      <c r="D25" s="17">
        <v>0.35</v>
      </c>
      <c r="E25" s="4"/>
      <c r="F25" s="4"/>
      <c r="G25" s="4"/>
      <c r="H25" s="5"/>
    </row>
    <row r="26" spans="1:8" ht="17.25">
      <c r="A26" s="3"/>
      <c r="B26" s="4"/>
      <c r="C26" s="4"/>
      <c r="D26" s="4"/>
      <c r="E26" s="4"/>
      <c r="F26" s="4"/>
      <c r="G26" s="4"/>
      <c r="H26" s="5"/>
    </row>
    <row r="27" spans="1:8" ht="17.25">
      <c r="A27" s="90" t="s">
        <v>145</v>
      </c>
      <c r="B27" s="91"/>
      <c r="C27" s="91"/>
      <c r="D27" s="91"/>
      <c r="E27" s="91"/>
      <c r="F27" s="91"/>
      <c r="G27" s="91"/>
      <c r="H27" s="92"/>
    </row>
    <row r="28" spans="1:8" ht="17.25">
      <c r="A28" s="19"/>
      <c r="B28" s="20"/>
      <c r="C28" s="20">
        <v>12</v>
      </c>
      <c r="D28" s="20">
        <v>18</v>
      </c>
      <c r="E28" s="20">
        <v>24</v>
      </c>
      <c r="F28" s="20">
        <v>36</v>
      </c>
      <c r="G28" s="20">
        <v>48</v>
      </c>
      <c r="H28" s="5"/>
    </row>
    <row r="29" spans="1:8" ht="17.25">
      <c r="A29" s="9" t="s">
        <v>139</v>
      </c>
      <c r="B29" s="10"/>
      <c r="C29" s="11">
        <f>+D11*H29</f>
        <v>3581.7358307280006</v>
      </c>
      <c r="D29" s="11">
        <f>+E11*H29</f>
        <v>5372.6037460920015</v>
      </c>
      <c r="E29" s="11">
        <f>+F11*H29</f>
        <v>7163.471661456001</v>
      </c>
      <c r="F29" s="11">
        <f>+G11*H29</f>
        <v>10745.207492184003</v>
      </c>
      <c r="G29" s="11">
        <f>+H11*H29</f>
        <v>14326.943322912002</v>
      </c>
      <c r="H29" s="21">
        <v>0.2</v>
      </c>
    </row>
    <row r="30" spans="1:8" ht="17.25">
      <c r="A30" s="9" t="s">
        <v>140</v>
      </c>
      <c r="B30" s="10"/>
      <c r="C30" s="11">
        <f>+D12*H30</f>
        <v>3793.1367650880006</v>
      </c>
      <c r="D30" s="11">
        <f>+E12*H30</f>
        <v>5689.705147632001</v>
      </c>
      <c r="E30" s="11">
        <f>+F12*H30</f>
        <v>7586.273530176001</v>
      </c>
      <c r="F30" s="11">
        <f>+G12*H30</f>
        <v>11379.410295264002</v>
      </c>
      <c r="G30" s="11">
        <f>+H12*H30</f>
        <v>15172.547060352003</v>
      </c>
      <c r="H30" s="21">
        <v>0.2</v>
      </c>
    </row>
    <row r="31" spans="1:8" ht="17.25">
      <c r="A31" s="9" t="s">
        <v>141</v>
      </c>
      <c r="B31" s="10"/>
      <c r="C31" s="11">
        <f>+D13*H31</f>
        <v>4046.817886320001</v>
      </c>
      <c r="D31" s="11">
        <f>+E13*H31</f>
        <v>6070.2268294800015</v>
      </c>
      <c r="E31" s="11">
        <f>+F13*H31</f>
        <v>8093.635772640002</v>
      </c>
      <c r="F31" s="11">
        <f>+G13*H31</f>
        <v>12140.453658960003</v>
      </c>
      <c r="G31" s="11">
        <f>+H13*H31</f>
        <v>16187.271545280004</v>
      </c>
      <c r="H31" s="21">
        <v>0.2</v>
      </c>
    </row>
    <row r="32" spans="1:8" ht="17.25">
      <c r="A32" s="9" t="s">
        <v>142</v>
      </c>
      <c r="B32" s="10"/>
      <c r="C32" s="11">
        <f>+D14*H32</f>
        <v>4228.018687200001</v>
      </c>
      <c r="D32" s="11">
        <f>+E14*H32</f>
        <v>6342.028030800002</v>
      </c>
      <c r="E32" s="11">
        <f>+F14*H32</f>
        <v>8456.037374400003</v>
      </c>
      <c r="F32" s="11">
        <f>+G14*H32</f>
        <v>12684.056061600004</v>
      </c>
      <c r="G32" s="11">
        <f>+H14*H32</f>
        <v>16912.074748800005</v>
      </c>
      <c r="H32" s="21">
        <v>0.2</v>
      </c>
    </row>
    <row r="33" spans="1:8" ht="17.25">
      <c r="A33" s="9" t="s">
        <v>143</v>
      </c>
      <c r="B33" s="10"/>
      <c r="C33" s="11">
        <f>+D15*H33</f>
        <v>4475.659781736001</v>
      </c>
      <c r="D33" s="11">
        <f>+E15*H33</f>
        <v>6713.4896726040015</v>
      </c>
      <c r="E33" s="11">
        <f>+F15*H33</f>
        <v>8951.319563472001</v>
      </c>
      <c r="F33" s="11">
        <f>+G15*H33</f>
        <v>13426.979345208003</v>
      </c>
      <c r="G33" s="11">
        <f>+H15*H33</f>
        <v>17902.639126944003</v>
      </c>
      <c r="H33" s="21">
        <v>0.2</v>
      </c>
    </row>
    <row r="34" spans="1:8" ht="17.25">
      <c r="A34" s="3"/>
      <c r="B34" s="4"/>
      <c r="C34" s="4"/>
      <c r="D34" s="4"/>
      <c r="E34" s="4"/>
      <c r="F34" s="4"/>
      <c r="G34" s="22"/>
      <c r="H34" s="5"/>
    </row>
    <row r="35" spans="1:8" ht="17.25">
      <c r="A35" s="3"/>
      <c r="B35" s="4"/>
      <c r="C35" s="4"/>
      <c r="D35" s="4"/>
      <c r="E35" s="4"/>
      <c r="F35" s="4"/>
      <c r="G35" s="4"/>
      <c r="H35" s="5"/>
    </row>
    <row r="36" spans="1:8" ht="17.25">
      <c r="A36" s="90" t="s">
        <v>148</v>
      </c>
      <c r="B36" s="91"/>
      <c r="C36" s="91"/>
      <c r="D36" s="91"/>
      <c r="E36" s="91"/>
      <c r="F36" s="91"/>
      <c r="G36" s="91"/>
      <c r="H36" s="92"/>
    </row>
    <row r="37" spans="1:8" ht="17.25">
      <c r="A37" s="19"/>
      <c r="B37" s="20"/>
      <c r="C37" s="20">
        <v>12</v>
      </c>
      <c r="D37" s="20">
        <v>18</v>
      </c>
      <c r="E37" s="20">
        <v>24</v>
      </c>
      <c r="F37" s="20">
        <v>36</v>
      </c>
      <c r="G37" s="20">
        <v>48</v>
      </c>
      <c r="H37" s="5"/>
    </row>
    <row r="38" spans="1:8" ht="17.25">
      <c r="A38" s="9" t="s">
        <v>139</v>
      </c>
      <c r="B38" s="10"/>
      <c r="C38" s="11">
        <f aca="true" t="shared" si="0" ref="C38:D40">+C29+D11</f>
        <v>21490.414984368002</v>
      </c>
      <c r="D38" s="11">
        <f t="shared" si="0"/>
        <v>32235.622476552006</v>
      </c>
      <c r="E38" s="11">
        <f>+F11+E29</f>
        <v>42980.829968736005</v>
      </c>
      <c r="F38" s="11">
        <f aca="true" t="shared" si="1" ref="F38:G42">+F29+G11</f>
        <v>64471.24495310401</v>
      </c>
      <c r="G38" s="11">
        <f t="shared" si="1"/>
        <v>85961.65993747201</v>
      </c>
      <c r="H38" s="21"/>
    </row>
    <row r="39" spans="1:8" ht="17.25">
      <c r="A39" s="9" t="s">
        <v>140</v>
      </c>
      <c r="B39" s="10"/>
      <c r="C39" s="11">
        <f t="shared" si="0"/>
        <v>22758.820590528005</v>
      </c>
      <c r="D39" s="11">
        <f t="shared" si="0"/>
        <v>34138.230885792</v>
      </c>
      <c r="E39" s="11">
        <f>+E30+F12</f>
        <v>45517.64118105601</v>
      </c>
      <c r="F39" s="11">
        <f t="shared" si="1"/>
        <v>68276.461771584</v>
      </c>
      <c r="G39" s="11">
        <f t="shared" si="1"/>
        <v>91035.28236211202</v>
      </c>
      <c r="H39" s="21"/>
    </row>
    <row r="40" spans="1:8" ht="17.25">
      <c r="A40" s="9" t="s">
        <v>141</v>
      </c>
      <c r="B40" s="10"/>
      <c r="C40" s="11">
        <f t="shared" si="0"/>
        <v>24280.907317920006</v>
      </c>
      <c r="D40" s="11">
        <f t="shared" si="0"/>
        <v>36421.36097688001</v>
      </c>
      <c r="E40" s="11">
        <f>+E31+F13</f>
        <v>48561.81463584001</v>
      </c>
      <c r="F40" s="11">
        <f t="shared" si="1"/>
        <v>72842.72195376002</v>
      </c>
      <c r="G40" s="11">
        <f t="shared" si="1"/>
        <v>97123.62927168002</v>
      </c>
      <c r="H40" s="21"/>
    </row>
    <row r="41" spans="1:8" ht="17.25">
      <c r="A41" s="9" t="s">
        <v>142</v>
      </c>
      <c r="B41" s="10"/>
      <c r="C41" s="11">
        <f>+C32+D14</f>
        <v>25368.112123200008</v>
      </c>
      <c r="D41" s="11">
        <f>+D32+E14</f>
        <v>38052.16818480001</v>
      </c>
      <c r="E41" s="11">
        <f>+E32+F14</f>
        <v>50736.224246400016</v>
      </c>
      <c r="F41" s="11">
        <f t="shared" si="1"/>
        <v>76104.33636960002</v>
      </c>
      <c r="G41" s="11">
        <f t="shared" si="1"/>
        <v>101472.44849280003</v>
      </c>
      <c r="H41" s="21"/>
    </row>
    <row r="42" spans="1:8" ht="17.25">
      <c r="A42" s="23" t="s">
        <v>143</v>
      </c>
      <c r="B42" s="24"/>
      <c r="C42" s="25">
        <f>+C33+D15</f>
        <v>26853.958690416002</v>
      </c>
      <c r="D42" s="25">
        <f>+D33+E15</f>
        <v>40280.93803562401</v>
      </c>
      <c r="E42" s="25">
        <f>+E33+F15</f>
        <v>53707.917380832005</v>
      </c>
      <c r="F42" s="25">
        <f t="shared" si="1"/>
        <v>80561.87607124801</v>
      </c>
      <c r="G42" s="25">
        <f t="shared" si="1"/>
        <v>107415.83476166401</v>
      </c>
      <c r="H42" s="26"/>
    </row>
  </sheetData>
  <sheetProtection/>
  <mergeCells count="4">
    <mergeCell ref="A7:H7"/>
    <mergeCell ref="A8:H8"/>
    <mergeCell ref="A27:H27"/>
    <mergeCell ref="A36:H36"/>
  </mergeCells>
  <printOptions/>
  <pageMargins left="0.708661417322835" right="0.708661417322835" top="0.7480314960629919" bottom="0.7480314960629919" header="0.31496062992126" footer="0.31496062992126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0"/>
  <sheetViews>
    <sheetView zoomScalePageLayoutView="0" workbookViewId="0" topLeftCell="A21">
      <selection activeCell="A4" sqref="A4:B41"/>
    </sheetView>
  </sheetViews>
  <sheetFormatPr defaultColWidth="11.421875" defaultRowHeight="15"/>
  <cols>
    <col min="1" max="1" width="58.7109375" style="61" bestFit="1" customWidth="1"/>
    <col min="2" max="2" width="14.421875" style="62" bestFit="1" customWidth="1"/>
    <col min="3" max="16384" width="11.421875" style="61" customWidth="1"/>
  </cols>
  <sheetData>
    <row r="4" ht="16.5" thickBot="1"/>
    <row r="5" spans="1:2" ht="15.75">
      <c r="A5" s="93" t="s">
        <v>149</v>
      </c>
      <c r="B5" s="94"/>
    </row>
    <row r="6" spans="1:2" ht="15.75">
      <c r="A6" s="95">
        <v>44562</v>
      </c>
      <c r="B6" s="96"/>
    </row>
    <row r="7" spans="1:2" ht="15.75">
      <c r="A7" s="97" t="s">
        <v>150</v>
      </c>
      <c r="B7" s="98"/>
    </row>
    <row r="8" spans="1:2" ht="15.75">
      <c r="A8" s="63"/>
      <c r="B8" s="64"/>
    </row>
    <row r="9" spans="1:2" ht="15.75">
      <c r="A9" s="65" t="s">
        <v>151</v>
      </c>
      <c r="B9" s="68">
        <v>210278</v>
      </c>
    </row>
    <row r="10" spans="1:2" ht="15.75">
      <c r="A10" s="65" t="s">
        <v>152</v>
      </c>
      <c r="B10" s="68">
        <v>105139</v>
      </c>
    </row>
    <row r="11" spans="1:2" ht="15.75">
      <c r="A11" s="63"/>
      <c r="B11" s="64"/>
    </row>
    <row r="12" spans="1:2" ht="15.75">
      <c r="A12" s="99" t="s">
        <v>153</v>
      </c>
      <c r="B12" s="99"/>
    </row>
    <row r="13" spans="1:2" ht="15.75">
      <c r="A13" s="69" t="s">
        <v>154</v>
      </c>
      <c r="B13" s="64"/>
    </row>
    <row r="14" spans="1:2" ht="15.75">
      <c r="A14" s="66" t="s">
        <v>155</v>
      </c>
      <c r="B14" s="64"/>
    </row>
    <row r="15" spans="1:2" ht="15.75">
      <c r="A15" s="65" t="s">
        <v>156</v>
      </c>
      <c r="B15" s="64"/>
    </row>
    <row r="16" spans="1:2" ht="15.75">
      <c r="A16" s="66" t="s">
        <v>162</v>
      </c>
      <c r="B16" s="67">
        <f>5904*1.1</f>
        <v>6494.400000000001</v>
      </c>
    </row>
    <row r="17" spans="1:2" ht="15.75">
      <c r="A17" s="65" t="s">
        <v>157</v>
      </c>
      <c r="B17" s="64"/>
    </row>
    <row r="18" spans="1:2" ht="15.75">
      <c r="A18" s="66" t="str">
        <f>+A16</f>
        <v>IGF hasta $ 210278</v>
      </c>
      <c r="B18" s="67">
        <f>35312*1.1</f>
        <v>38843.200000000004</v>
      </c>
    </row>
    <row r="19" spans="1:2" ht="15.75">
      <c r="A19" s="65" t="s">
        <v>158</v>
      </c>
      <c r="B19" s="64"/>
    </row>
    <row r="20" spans="1:2" ht="15.75">
      <c r="A20" s="66" t="str">
        <f>+A16</f>
        <v>IGF hasta $ 210278</v>
      </c>
      <c r="B20" s="67">
        <f>8841*1.1</f>
        <v>9725.1</v>
      </c>
    </row>
    <row r="21" spans="1:2" ht="15.75">
      <c r="A21" s="65" t="s">
        <v>159</v>
      </c>
      <c r="B21" s="64"/>
    </row>
    <row r="22" spans="1:2" ht="15.75">
      <c r="A22" s="66" t="s">
        <v>160</v>
      </c>
      <c r="B22" s="67">
        <f>5063*1.1</f>
        <v>5569.3</v>
      </c>
    </row>
    <row r="23" spans="1:2" ht="15.75">
      <c r="A23" s="66" t="s">
        <v>161</v>
      </c>
      <c r="B23" s="67">
        <f>3415*1.1</f>
        <v>3756.5000000000005</v>
      </c>
    </row>
    <row r="24" spans="1:2" ht="15.75">
      <c r="A24" s="66" t="s">
        <v>163</v>
      </c>
      <c r="B24" s="67">
        <f>2064*1.1</f>
        <v>2270.4</v>
      </c>
    </row>
    <row r="25" spans="1:2" ht="15.75">
      <c r="A25" s="66" t="s">
        <v>164</v>
      </c>
      <c r="B25" s="67">
        <f>1063*1.1</f>
        <v>1169.3000000000002</v>
      </c>
    </row>
    <row r="26" spans="1:2" ht="15.75">
      <c r="A26" s="65" t="s">
        <v>165</v>
      </c>
      <c r="B26" s="64"/>
    </row>
    <row r="27" spans="1:2" ht="15.75">
      <c r="A27" s="66" t="s">
        <v>160</v>
      </c>
      <c r="B27" s="67">
        <f>5063*1.1</f>
        <v>5569.3</v>
      </c>
    </row>
    <row r="28" spans="1:2" ht="15.75">
      <c r="A28" s="66" t="s">
        <v>161</v>
      </c>
      <c r="B28" s="67">
        <f>3415*1.1</f>
        <v>3756.5000000000005</v>
      </c>
    </row>
    <row r="29" spans="1:2" ht="15.75">
      <c r="A29" s="66" t="s">
        <v>163</v>
      </c>
      <c r="B29" s="67">
        <f>2064*1.1</f>
        <v>2270.4</v>
      </c>
    </row>
    <row r="30" spans="1:2" ht="15.75">
      <c r="A30" s="66" t="s">
        <v>164</v>
      </c>
      <c r="B30" s="67">
        <f>1063*1.1</f>
        <v>1169.3000000000002</v>
      </c>
    </row>
    <row r="31" spans="1:2" ht="15.75">
      <c r="A31" s="65" t="s">
        <v>166</v>
      </c>
      <c r="B31" s="64"/>
    </row>
    <row r="32" spans="1:2" ht="15.75">
      <c r="A32" s="66" t="s">
        <v>160</v>
      </c>
      <c r="B32" s="67">
        <f>16496*1.1</f>
        <v>18145.600000000002</v>
      </c>
    </row>
    <row r="33" spans="1:2" ht="15.75">
      <c r="A33" s="66" t="s">
        <v>161</v>
      </c>
      <c r="B33" s="67">
        <f>11668*1.1</f>
        <v>12834.800000000001</v>
      </c>
    </row>
    <row r="34" spans="1:2" ht="15.75">
      <c r="A34" s="66" t="s">
        <v>167</v>
      </c>
      <c r="B34" s="67">
        <f>7364*1.1</f>
        <v>8100.400000000001</v>
      </c>
    </row>
    <row r="35" spans="1:2" ht="15.75">
      <c r="A35" s="65" t="s">
        <v>169</v>
      </c>
      <c r="B35" s="64"/>
    </row>
    <row r="36" spans="1:2" ht="15.75">
      <c r="A36" s="66" t="s">
        <v>168</v>
      </c>
      <c r="B36" s="67">
        <f>4244*1.1</f>
        <v>4668.400000000001</v>
      </c>
    </row>
    <row r="37" spans="1:2" ht="15.75">
      <c r="A37" s="65" t="s">
        <v>170</v>
      </c>
      <c r="B37" s="64"/>
    </row>
    <row r="38" spans="1:2" ht="15.75">
      <c r="A38" s="66" t="s">
        <v>171</v>
      </c>
      <c r="B38" s="67">
        <f>+4244*1.1</f>
        <v>4668.400000000001</v>
      </c>
    </row>
    <row r="39" spans="1:2" ht="15.75">
      <c r="A39" s="65" t="s">
        <v>172</v>
      </c>
      <c r="B39" s="64"/>
    </row>
    <row r="40" spans="1:2" ht="15.75">
      <c r="A40" s="66" t="s">
        <v>162</v>
      </c>
      <c r="B40" s="67">
        <f>1227*1.1</f>
        <v>1349.7</v>
      </c>
    </row>
  </sheetData>
  <sheetProtection/>
  <mergeCells count="4">
    <mergeCell ref="A5:B5"/>
    <mergeCell ref="A6:B6"/>
    <mergeCell ref="A7:B7"/>
    <mergeCell ref="A12:B12"/>
  </mergeCells>
  <printOptions/>
  <pageMargins left="1.2992125984251968" right="0.5118110236220472" top="2.1653543307086616" bottom="0.354330708661417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17"/>
  <sheetViews>
    <sheetView tabSelected="1" zoomScalePageLayoutView="0" workbookViewId="0" topLeftCell="A1">
      <selection activeCell="A4" sqref="A4:C18"/>
    </sheetView>
  </sheetViews>
  <sheetFormatPr defaultColWidth="11.421875" defaultRowHeight="15"/>
  <cols>
    <col min="1" max="1" width="38.57421875" style="61" bestFit="1" customWidth="1"/>
    <col min="2" max="2" width="16.421875" style="62" bestFit="1" customWidth="1"/>
    <col min="3" max="3" width="22.140625" style="61" bestFit="1" customWidth="1"/>
    <col min="4" max="16384" width="11.421875" style="61" customWidth="1"/>
  </cols>
  <sheetData>
    <row r="4" ht="16.5" thickBot="1"/>
    <row r="5" spans="1:3" ht="15.75">
      <c r="A5" s="93" t="s">
        <v>188</v>
      </c>
      <c r="B5" s="100"/>
      <c r="C5" s="94"/>
    </row>
    <row r="6" spans="1:3" ht="15.75">
      <c r="A6" s="95">
        <v>44562</v>
      </c>
      <c r="B6" s="101"/>
      <c r="C6" s="96"/>
    </row>
    <row r="7" spans="1:3" ht="15.75">
      <c r="A7" s="97" t="s">
        <v>174</v>
      </c>
      <c r="B7" s="102"/>
      <c r="C7" s="98"/>
    </row>
    <row r="8" spans="1:3" ht="15.75">
      <c r="A8" s="103" t="s">
        <v>175</v>
      </c>
      <c r="B8" s="104"/>
      <c r="C8" s="105"/>
    </row>
    <row r="9" spans="1:3" ht="15.75">
      <c r="A9" s="70" t="s">
        <v>176</v>
      </c>
      <c r="B9" s="71" t="s">
        <v>177</v>
      </c>
      <c r="C9" s="70" t="s">
        <v>178</v>
      </c>
    </row>
    <row r="10" spans="1:3" ht="15.75">
      <c r="A10" s="66" t="s">
        <v>179</v>
      </c>
      <c r="B10" s="67">
        <v>18000</v>
      </c>
      <c r="C10" s="67">
        <v>21000</v>
      </c>
    </row>
    <row r="11" spans="1:3" ht="15.75">
      <c r="A11" s="66" t="s">
        <v>180</v>
      </c>
      <c r="B11" s="67">
        <v>7000</v>
      </c>
      <c r="C11" s="67">
        <v>8000</v>
      </c>
    </row>
    <row r="12" spans="1:3" ht="15.75">
      <c r="A12" s="66" t="s">
        <v>181</v>
      </c>
      <c r="B12" s="67">
        <v>7000</v>
      </c>
      <c r="C12" s="67">
        <v>8000</v>
      </c>
    </row>
    <row r="13" spans="1:3" ht="15.75">
      <c r="A13" s="66" t="s">
        <v>182</v>
      </c>
      <c r="B13" s="67">
        <v>30000</v>
      </c>
      <c r="C13" s="67">
        <v>30000</v>
      </c>
    </row>
    <row r="14" spans="1:3" ht="15.75">
      <c r="A14" s="66" t="s">
        <v>183</v>
      </c>
      <c r="B14" s="67">
        <v>26000</v>
      </c>
      <c r="C14" s="67">
        <v>30000</v>
      </c>
    </row>
    <row r="15" spans="1:3" ht="15.75">
      <c r="A15" s="66" t="s">
        <v>187</v>
      </c>
      <c r="B15" s="67">
        <v>9000</v>
      </c>
      <c r="C15" s="67">
        <v>11000</v>
      </c>
    </row>
    <row r="16" spans="1:3" ht="15.75">
      <c r="A16" s="66" t="s">
        <v>186</v>
      </c>
      <c r="B16" s="67">
        <v>7000</v>
      </c>
      <c r="C16" s="67">
        <v>9000</v>
      </c>
    </row>
    <row r="17" spans="1:3" ht="15.75">
      <c r="A17" s="66" t="s">
        <v>184</v>
      </c>
      <c r="B17" s="67">
        <v>2300</v>
      </c>
      <c r="C17" s="67" t="s">
        <v>185</v>
      </c>
    </row>
  </sheetData>
  <sheetProtection/>
  <mergeCells count="4">
    <mergeCell ref="A5:C5"/>
    <mergeCell ref="A6:C6"/>
    <mergeCell ref="A7:C7"/>
    <mergeCell ref="A8:C8"/>
  </mergeCells>
  <printOptions/>
  <pageMargins left="1.2992125984251968" right="0.5118110236220472" top="2.1653543307086616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Madariaga</dc:creator>
  <cp:keywords/>
  <dc:description/>
  <cp:lastModifiedBy>FINANZAS</cp:lastModifiedBy>
  <cp:lastPrinted>2021-12-27T13:58:18Z</cp:lastPrinted>
  <dcterms:created xsi:type="dcterms:W3CDTF">2016-03-14T14:40:00Z</dcterms:created>
  <dcterms:modified xsi:type="dcterms:W3CDTF">2022-01-05T14:31:54Z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129338D578574BE78A8E9AF4E0272125</vt:lpwstr>
  </property>
</Properties>
</file>